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34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1" sheetId="22" r:id="rId9"/>
    <sheet name="NL12" sheetId="14" r:id="rId10"/>
    <sheet name="NL13" sheetId="15" r:id="rId11"/>
    <sheet name="NL14" sheetId="16" r:id="rId12"/>
    <sheet name="NL15" sheetId="17" r:id="rId13"/>
    <sheet name="NL17" sheetId="18" r:id="rId14"/>
    <sheet name="NL18" sheetId="19" r:id="rId15"/>
    <sheet name="NL20" sheetId="4" r:id="rId16"/>
    <sheet name="NL26" sheetId="5" r:id="rId17"/>
    <sheet name="NL33" sheetId="2" r:id="rId18"/>
    <sheet name="NL36" sheetId="6" r:id="rId19"/>
    <sheet name="NL40" sheetId="20" r:id="rId20"/>
    <sheet name="NL44" sheetId="21" r:id="rId21"/>
  </sheets>
  <calcPr calcId="152511"/>
</workbook>
</file>

<file path=xl/calcChain.xml><?xml version="1.0" encoding="utf-8"?>
<calcChain xmlns="http://schemas.openxmlformats.org/spreadsheetml/2006/main">
  <c r="AE8" i="19" l="1"/>
  <c r="S8" i="19"/>
  <c r="R13" i="18"/>
  <c r="R7" i="18"/>
  <c r="CC19" i="14" l="1"/>
  <c r="CB19" i="14"/>
  <c r="BR33" i="14"/>
  <c r="BO33" i="14"/>
  <c r="BR29" i="14"/>
  <c r="BO29" i="14"/>
  <c r="BR13" i="14"/>
  <c r="BO13" i="14"/>
  <c r="BN35" i="14"/>
  <c r="BM35" i="14"/>
  <c r="BN19" i="14"/>
  <c r="BM19" i="14"/>
  <c r="EM16" i="2" l="1"/>
  <c r="AD60" i="20" l="1"/>
  <c r="AD61" i="20" s="1"/>
  <c r="AD70" i="20"/>
  <c r="AD71" i="20" s="1"/>
  <c r="AB48" i="20"/>
  <c r="AB47" i="20"/>
  <c r="AB46" i="20"/>
  <c r="AB45" i="20"/>
  <c r="AA88" i="20"/>
  <c r="AA87" i="20"/>
  <c r="AA86" i="20"/>
  <c r="AA85" i="20"/>
  <c r="AA48" i="20"/>
  <c r="AA47" i="20"/>
  <c r="AA46" i="20"/>
  <c r="AA45" i="20"/>
  <c r="Z48" i="20"/>
  <c r="Z47" i="20"/>
  <c r="Z46" i="20"/>
  <c r="Z45" i="20"/>
  <c r="Y48" i="20"/>
  <c r="Y47" i="20"/>
  <c r="Y46" i="20"/>
  <c r="Y45" i="20"/>
  <c r="X48" i="20"/>
  <c r="X47" i="20"/>
  <c r="X46" i="20"/>
  <c r="X45" i="20"/>
  <c r="W48" i="20"/>
  <c r="W47" i="20"/>
  <c r="W46" i="20"/>
  <c r="W45" i="20"/>
  <c r="AS24" i="7" l="1"/>
  <c r="AR24" i="7"/>
  <c r="AR7" i="1"/>
  <c r="W9" i="8"/>
  <c r="W16" i="8"/>
  <c r="F49" i="20"/>
  <c r="F48" i="20"/>
  <c r="F47" i="20"/>
  <c r="F46" i="20"/>
  <c r="F45" i="20"/>
  <c r="BE24" i="7"/>
  <c r="BD24" i="7"/>
  <c r="BC24" i="7"/>
  <c r="BB24" i="7"/>
  <c r="AW24" i="7"/>
  <c r="AV24" i="7"/>
  <c r="AE48" i="20" l="1"/>
  <c r="AE47" i="20"/>
  <c r="AE46" i="20"/>
  <c r="AE45" i="20"/>
  <c r="AE16" i="8"/>
  <c r="V48" i="20"/>
  <c r="V47" i="20"/>
  <c r="V46" i="20"/>
  <c r="V45" i="20"/>
  <c r="U48" i="20"/>
  <c r="U46" i="20"/>
  <c r="U45" i="20"/>
  <c r="BK24" i="7" l="1"/>
  <c r="BJ24" i="7"/>
  <c r="CN35" i="14"/>
  <c r="CN20" i="14"/>
  <c r="AF48" i="20"/>
  <c r="AF47" i="20"/>
  <c r="AF46" i="20"/>
  <c r="AF45" i="20"/>
  <c r="T48" i="20" l="1"/>
  <c r="T47" i="20"/>
  <c r="T46" i="20"/>
  <c r="T45" i="20"/>
  <c r="Q48" i="20" l="1"/>
  <c r="Q47" i="20"/>
  <c r="Q46" i="20"/>
  <c r="Q45" i="20"/>
  <c r="Q8" i="19" l="1"/>
  <c r="P7" i="18"/>
  <c r="O48" i="20"/>
  <c r="O47" i="20"/>
  <c r="O46" i="20"/>
  <c r="O45" i="20"/>
  <c r="N48" i="20" l="1"/>
  <c r="N47" i="20"/>
  <c r="N46" i="20"/>
  <c r="N45" i="20"/>
  <c r="AA24" i="7"/>
  <c r="Z24" i="7"/>
  <c r="L48" i="20"/>
  <c r="L47" i="20"/>
  <c r="L46" i="20"/>
  <c r="L45" i="20"/>
  <c r="W24" i="7"/>
  <c r="V24" i="7"/>
  <c r="H48" i="20" l="1"/>
  <c r="H47" i="20"/>
  <c r="H46" i="20"/>
  <c r="H45" i="20"/>
  <c r="K48" i="20"/>
  <c r="K47" i="20"/>
  <c r="K46" i="20"/>
  <c r="K45" i="20"/>
  <c r="AA19" i="14"/>
  <c r="Z19" i="14"/>
  <c r="U24" i="7"/>
  <c r="T24" i="7"/>
  <c r="J49" i="20" l="1"/>
  <c r="J48" i="20"/>
  <c r="J47" i="20"/>
  <c r="J46" i="20"/>
  <c r="J45" i="20"/>
  <c r="Q24" i="7"/>
  <c r="P24" i="7"/>
  <c r="G48" i="20" l="1"/>
  <c r="G47" i="20"/>
  <c r="G46" i="20"/>
  <c r="G45" i="20"/>
  <c r="Y24" i="7"/>
  <c r="X24" i="7"/>
  <c r="AK33" i="14"/>
  <c r="M48" i="20"/>
  <c r="M47" i="20"/>
  <c r="M46" i="20"/>
  <c r="M45" i="20"/>
  <c r="L31" i="14"/>
  <c r="T11" i="2" l="1"/>
  <c r="S11" i="2"/>
  <c r="Q11" i="2"/>
  <c r="R11" i="2"/>
  <c r="E48" i="20"/>
  <c r="E47" i="20"/>
  <c r="E46" i="20"/>
  <c r="E45" i="20"/>
  <c r="J34" i="14" l="1"/>
  <c r="J33" i="14"/>
  <c r="J31" i="14"/>
  <c r="J30" i="14"/>
  <c r="J29" i="14"/>
  <c r="J28" i="14"/>
  <c r="J23" i="14"/>
  <c r="J22" i="14"/>
  <c r="J19" i="14"/>
  <c r="J18" i="14"/>
  <c r="J14" i="14"/>
  <c r="J13" i="14"/>
  <c r="J10" i="14"/>
  <c r="J7" i="14"/>
  <c r="J6" i="14"/>
  <c r="D16" i="8"/>
  <c r="C16" i="8"/>
  <c r="F34" i="14" l="1"/>
  <c r="F18" i="14"/>
  <c r="G13" i="14"/>
  <c r="G12" i="14"/>
  <c r="B48" i="20"/>
  <c r="B46" i="20"/>
  <c r="B45" i="20"/>
  <c r="AF79" i="20"/>
  <c r="AE79" i="20"/>
  <c r="AD79" i="20"/>
  <c r="AC79" i="20"/>
  <c r="AB79" i="20"/>
  <c r="AA79" i="20"/>
  <c r="Z79" i="20"/>
  <c r="Y79" i="20"/>
  <c r="X79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AG8" i="8" l="1"/>
  <c r="AG7" i="8"/>
  <c r="AF9" i="8"/>
  <c r="AE9" i="8"/>
  <c r="AD9" i="8"/>
  <c r="AB9" i="8"/>
  <c r="AA9" i="8"/>
  <c r="Z9" i="8"/>
  <c r="Y9" i="8"/>
  <c r="X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Q11" i="6" l="1"/>
  <c r="P11" i="6"/>
  <c r="O11" i="6"/>
  <c r="N11" i="6"/>
  <c r="E7" i="19"/>
  <c r="E13" i="18"/>
  <c r="I7" i="19"/>
  <c r="H13" i="18"/>
  <c r="H7" i="18"/>
  <c r="J7" i="19"/>
  <c r="I7" i="18"/>
  <c r="L8" i="19"/>
  <c r="L9" i="19"/>
  <c r="AS11" i="6"/>
  <c r="AR11" i="6"/>
  <c r="AQ11" i="6"/>
  <c r="AP11" i="6"/>
  <c r="L13" i="18"/>
  <c r="L7" i="18"/>
  <c r="AW11" i="6"/>
  <c r="AV11" i="6"/>
  <c r="AU11" i="6"/>
  <c r="AT11" i="6"/>
  <c r="N7" i="19"/>
  <c r="M13" i="18"/>
  <c r="M7" i="18"/>
  <c r="BC12" i="6"/>
  <c r="T13" i="18"/>
  <c r="T7" i="18"/>
  <c r="CC11" i="6"/>
  <c r="CB11" i="6"/>
  <c r="CA11" i="6"/>
  <c r="BZ11" i="6"/>
  <c r="V7" i="18" l="1"/>
  <c r="AD13" i="18"/>
  <c r="X13" i="18"/>
  <c r="X11" i="16"/>
  <c r="Z7" i="19"/>
  <c r="Y13" i="18"/>
  <c r="Y7" i="18"/>
  <c r="AB13" i="18"/>
  <c r="DQ11" i="6"/>
  <c r="DP11" i="6"/>
  <c r="DO11" i="6"/>
  <c r="DN11" i="6"/>
  <c r="AF8" i="19"/>
  <c r="AG8" i="19"/>
  <c r="AF13" i="18"/>
  <c r="C10" i="21"/>
  <c r="B10" i="21"/>
  <c r="B7" i="18"/>
  <c r="I11" i="6"/>
  <c r="H11" i="6"/>
  <c r="G11" i="6"/>
  <c r="F11" i="6"/>
  <c r="C8" i="19"/>
  <c r="C13" i="18"/>
  <c r="C7" i="18"/>
  <c r="D8" i="19" l="1"/>
  <c r="D13" i="18"/>
  <c r="G13" i="18"/>
  <c r="G7" i="18"/>
  <c r="J13" i="18"/>
  <c r="J7" i="18"/>
  <c r="N13" i="18"/>
  <c r="Q13" i="18" l="1"/>
  <c r="Q7" i="18"/>
  <c r="Q5" i="22"/>
  <c r="S13" i="18"/>
  <c r="S7" i="18"/>
  <c r="S11" i="16"/>
  <c r="S6" i="13"/>
  <c r="CK11" i="6"/>
  <c r="CJ11" i="6"/>
  <c r="CI11" i="6"/>
  <c r="CH11" i="6"/>
  <c r="AG9" i="19"/>
  <c r="AF9" i="19"/>
  <c r="AE9" i="19"/>
  <c r="AD9" i="19"/>
  <c r="AC9" i="19"/>
  <c r="AB9" i="19"/>
  <c r="AA9" i="19"/>
  <c r="Z9" i="19"/>
  <c r="Y9" i="19"/>
  <c r="W9" i="19"/>
  <c r="V9" i="19"/>
  <c r="U9" i="19"/>
  <c r="T9" i="19"/>
  <c r="S9" i="19"/>
  <c r="R9" i="19"/>
  <c r="P9" i="19"/>
  <c r="O9" i="19"/>
  <c r="N9" i="19"/>
  <c r="M9" i="19"/>
  <c r="K9" i="19"/>
  <c r="J9" i="19"/>
  <c r="I9" i="19"/>
  <c r="H9" i="19"/>
  <c r="G9" i="19"/>
  <c r="E9" i="19"/>
  <c r="D9" i="19"/>
  <c r="C9" i="19"/>
  <c r="B9" i="19"/>
  <c r="X7" i="19"/>
  <c r="X9" i="19" s="1"/>
  <c r="W13" i="18"/>
  <c r="W6" i="18"/>
  <c r="AA7" i="18"/>
  <c r="F13" i="18"/>
  <c r="F7" i="18"/>
  <c r="F6" i="13"/>
  <c r="Z13" i="18" l="1"/>
  <c r="Z14" i="18" s="1"/>
  <c r="Z7" i="18"/>
  <c r="AC13" i="18"/>
  <c r="AC14" i="18" s="1"/>
  <c r="AF14" i="18"/>
  <c r="AE14" i="18"/>
  <c r="AD14" i="18"/>
  <c r="AB14" i="18"/>
  <c r="AA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B14" i="18"/>
  <c r="C14" i="18" l="1"/>
  <c r="BS20" i="14" l="1"/>
  <c r="AU100" i="10" l="1"/>
  <c r="AT100" i="10"/>
  <c r="BM17" i="12" l="1"/>
  <c r="BL17" i="12"/>
  <c r="BM16" i="12"/>
  <c r="BL16" i="12"/>
  <c r="BM14" i="12"/>
  <c r="BL14" i="12"/>
  <c r="BM13" i="12"/>
  <c r="BL13" i="12"/>
  <c r="BM12" i="12"/>
  <c r="BL12" i="12"/>
  <c r="BM11" i="12"/>
  <c r="BL11" i="12"/>
  <c r="BM10" i="12"/>
  <c r="BL10" i="12"/>
  <c r="BM9" i="12"/>
  <c r="BL9" i="12"/>
  <c r="BM8" i="12"/>
  <c r="BL8" i="12"/>
  <c r="BM7" i="12"/>
  <c r="BL7" i="12"/>
  <c r="BM6" i="12"/>
  <c r="BL6" i="12"/>
  <c r="BM5" i="12"/>
  <c r="BL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M24" i="7"/>
  <c r="BL24" i="7"/>
  <c r="BM22" i="7"/>
  <c r="BL22" i="7"/>
  <c r="BM20" i="7"/>
  <c r="BL20" i="7"/>
  <c r="BM19" i="7"/>
  <c r="BL19" i="7"/>
  <c r="BM18" i="7"/>
  <c r="BL18" i="7"/>
  <c r="BM16" i="7"/>
  <c r="BL16" i="7"/>
  <c r="BM14" i="7"/>
  <c r="BL14" i="7"/>
  <c r="BM13" i="7"/>
  <c r="BL13" i="7"/>
  <c r="BM12" i="7"/>
  <c r="BL12" i="7"/>
  <c r="BM11" i="7"/>
  <c r="BL11" i="7"/>
  <c r="BM10" i="7"/>
  <c r="BL10" i="7"/>
  <c r="BM8" i="7"/>
  <c r="BL8" i="7"/>
  <c r="BM7" i="7"/>
  <c r="BL7" i="7"/>
  <c r="BM6" i="7"/>
  <c r="BL6" i="7"/>
  <c r="BM14" i="1"/>
  <c r="BL14" i="1"/>
  <c r="BM12" i="1"/>
  <c r="BL12" i="1"/>
  <c r="BM11" i="1"/>
  <c r="BL11" i="1"/>
  <c r="BM10" i="1"/>
  <c r="BL10" i="1"/>
  <c r="BM9" i="1"/>
  <c r="BL9" i="1"/>
  <c r="BM8" i="1"/>
  <c r="BL8" i="1"/>
  <c r="BM6" i="1"/>
  <c r="BL6" i="1"/>
  <c r="BM5" i="1"/>
  <c r="BL5" i="1"/>
  <c r="BM111" i="11"/>
  <c r="BL111" i="11"/>
  <c r="BM110" i="11"/>
  <c r="BL110" i="11"/>
  <c r="BM109" i="11"/>
  <c r="BL109" i="11"/>
  <c r="BM108" i="11"/>
  <c r="BL108" i="11"/>
  <c r="BM107" i="11"/>
  <c r="BL107" i="11"/>
  <c r="BM106" i="11"/>
  <c r="BL106" i="11"/>
  <c r="BM105" i="11"/>
  <c r="BL105" i="11"/>
  <c r="BM89" i="11"/>
  <c r="BL89" i="11"/>
  <c r="BM88" i="11"/>
  <c r="BL88" i="11"/>
  <c r="BM87" i="11"/>
  <c r="BL87" i="11"/>
  <c r="BM86" i="11"/>
  <c r="BL86" i="11"/>
  <c r="BM85" i="11"/>
  <c r="BL85" i="11"/>
  <c r="BM84" i="11"/>
  <c r="BL84" i="11"/>
  <c r="BM83" i="11"/>
  <c r="BL83" i="11"/>
  <c r="BM78" i="11"/>
  <c r="BL78" i="11"/>
  <c r="BM77" i="11"/>
  <c r="BL77" i="11"/>
  <c r="BM76" i="11"/>
  <c r="BL76" i="11"/>
  <c r="BM75" i="11"/>
  <c r="BL75" i="11"/>
  <c r="BM74" i="11"/>
  <c r="BL74" i="11"/>
  <c r="BM73" i="11"/>
  <c r="BL73" i="11"/>
  <c r="BM72" i="11"/>
  <c r="BL72" i="11"/>
  <c r="BM67" i="11"/>
  <c r="BL67" i="11"/>
  <c r="BM66" i="11"/>
  <c r="BL66" i="11"/>
  <c r="BM65" i="11"/>
  <c r="BL65" i="11"/>
  <c r="BM64" i="11"/>
  <c r="BL64" i="11"/>
  <c r="BM63" i="11"/>
  <c r="BL63" i="11"/>
  <c r="BM62" i="11"/>
  <c r="BL62" i="11"/>
  <c r="BM61" i="11"/>
  <c r="BL61" i="11"/>
  <c r="BM56" i="11"/>
  <c r="BL56" i="11"/>
  <c r="BM55" i="11"/>
  <c r="BL55" i="11"/>
  <c r="BM54" i="11"/>
  <c r="BL54" i="11"/>
  <c r="BM53" i="11"/>
  <c r="BL53" i="11"/>
  <c r="BM52" i="11"/>
  <c r="BL52" i="11"/>
  <c r="BM51" i="11"/>
  <c r="BL51" i="11"/>
  <c r="BM50" i="11"/>
  <c r="BL50" i="11"/>
  <c r="BM45" i="11"/>
  <c r="BL45" i="11"/>
  <c r="BM44" i="11"/>
  <c r="BL44" i="11"/>
  <c r="BM43" i="11"/>
  <c r="BL43" i="11"/>
  <c r="BM42" i="11"/>
  <c r="BL42" i="11"/>
  <c r="BM41" i="11"/>
  <c r="BL41" i="11"/>
  <c r="BM40" i="11"/>
  <c r="BL40" i="11"/>
  <c r="BM39" i="11"/>
  <c r="BL39" i="11"/>
  <c r="BM34" i="11"/>
  <c r="BL34" i="11"/>
  <c r="BM33" i="11"/>
  <c r="BL33" i="11"/>
  <c r="BM32" i="11"/>
  <c r="BL32" i="11"/>
  <c r="BM31" i="11"/>
  <c r="BL31" i="11"/>
  <c r="BM30" i="11"/>
  <c r="BL30" i="11"/>
  <c r="BM29" i="11"/>
  <c r="BL29" i="11"/>
  <c r="BM28" i="11"/>
  <c r="BL28" i="11"/>
  <c r="BM23" i="11"/>
  <c r="BL23" i="11"/>
  <c r="BM22" i="11"/>
  <c r="BL22" i="11"/>
  <c r="BM21" i="11"/>
  <c r="BL21" i="11"/>
  <c r="BM20" i="11"/>
  <c r="BL20" i="11"/>
  <c r="BM19" i="11"/>
  <c r="BL19" i="11"/>
  <c r="BM18" i="11"/>
  <c r="BL18" i="11"/>
  <c r="BM17" i="11"/>
  <c r="BL17" i="11"/>
  <c r="BM12" i="11"/>
  <c r="BL12" i="11"/>
  <c r="BM11" i="11"/>
  <c r="BL11" i="11"/>
  <c r="BM10" i="11"/>
  <c r="BL10" i="11"/>
  <c r="BM9" i="11"/>
  <c r="BL9" i="11"/>
  <c r="BM8" i="11"/>
  <c r="BL8" i="11"/>
  <c r="BM7" i="11"/>
  <c r="BL7" i="11"/>
  <c r="BM6" i="11"/>
  <c r="BL6" i="11"/>
  <c r="BK97" i="1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B97" i="11"/>
  <c r="BK96" i="11"/>
  <c r="BJ96" i="11"/>
  <c r="BI96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BM111" i="10"/>
  <c r="BL111" i="10"/>
  <c r="BM110" i="10"/>
  <c r="BL110" i="10"/>
  <c r="BM109" i="10"/>
  <c r="BL109" i="10"/>
  <c r="BM108" i="10"/>
  <c r="BL108" i="10"/>
  <c r="BM107" i="10"/>
  <c r="BL107" i="10"/>
  <c r="BM106" i="10"/>
  <c r="BL106" i="10"/>
  <c r="BM105" i="10"/>
  <c r="BL105" i="10"/>
  <c r="BM89" i="10"/>
  <c r="BL89" i="10"/>
  <c r="BM88" i="10"/>
  <c r="BL88" i="10"/>
  <c r="BM87" i="10"/>
  <c r="BL87" i="10"/>
  <c r="BM86" i="10"/>
  <c r="BL86" i="10"/>
  <c r="BM85" i="10"/>
  <c r="BL85" i="10"/>
  <c r="BM84" i="10"/>
  <c r="BL84" i="10"/>
  <c r="BM83" i="10"/>
  <c r="BL83" i="10"/>
  <c r="BM78" i="10"/>
  <c r="BL78" i="10"/>
  <c r="BM77" i="10"/>
  <c r="BL77" i="10"/>
  <c r="BM76" i="10"/>
  <c r="BL76" i="10"/>
  <c r="BM75" i="10"/>
  <c r="BL75" i="10"/>
  <c r="BM74" i="10"/>
  <c r="BL74" i="10"/>
  <c r="BM73" i="10"/>
  <c r="BL73" i="10"/>
  <c r="BM72" i="10"/>
  <c r="BL72" i="10"/>
  <c r="BM67" i="10"/>
  <c r="BL67" i="10"/>
  <c r="BM66" i="10"/>
  <c r="BL66" i="10"/>
  <c r="BM65" i="10"/>
  <c r="BL65" i="10"/>
  <c r="BM64" i="10"/>
  <c r="BL64" i="10"/>
  <c r="BM63" i="10"/>
  <c r="BL63" i="10"/>
  <c r="BM62" i="10"/>
  <c r="BL62" i="10"/>
  <c r="BM61" i="10"/>
  <c r="BL61" i="10"/>
  <c r="BM56" i="10"/>
  <c r="BL56" i="10"/>
  <c r="BM55" i="10"/>
  <c r="BL55" i="10"/>
  <c r="BM54" i="10"/>
  <c r="BL54" i="10"/>
  <c r="BM53" i="10"/>
  <c r="BL53" i="10"/>
  <c r="BM52" i="10"/>
  <c r="BL52" i="10"/>
  <c r="BM51" i="10"/>
  <c r="BL51" i="10"/>
  <c r="BM50" i="10"/>
  <c r="BL50" i="10"/>
  <c r="BM45" i="10"/>
  <c r="BL45" i="10"/>
  <c r="BM44" i="10"/>
  <c r="BL44" i="10"/>
  <c r="BM43" i="10"/>
  <c r="BL43" i="10"/>
  <c r="BM42" i="10"/>
  <c r="BL42" i="10"/>
  <c r="BM41" i="10"/>
  <c r="BL41" i="10"/>
  <c r="BM40" i="10"/>
  <c r="BL40" i="10"/>
  <c r="BM39" i="10"/>
  <c r="BL39" i="10"/>
  <c r="BM34" i="10"/>
  <c r="BL34" i="10"/>
  <c r="BM33" i="10"/>
  <c r="BL33" i="10"/>
  <c r="BM32" i="10"/>
  <c r="BL32" i="10"/>
  <c r="BM31" i="10"/>
  <c r="BL31" i="10"/>
  <c r="BM30" i="10"/>
  <c r="BL30" i="10"/>
  <c r="BM29" i="10"/>
  <c r="BL29" i="10"/>
  <c r="BM28" i="10"/>
  <c r="BL28" i="10"/>
  <c r="BM23" i="10"/>
  <c r="BL23" i="10"/>
  <c r="BM22" i="10"/>
  <c r="BL22" i="10"/>
  <c r="BM21" i="10"/>
  <c r="BL21" i="10"/>
  <c r="BM20" i="10"/>
  <c r="BL20" i="10"/>
  <c r="BM19" i="10"/>
  <c r="BL19" i="10"/>
  <c r="BM18" i="10"/>
  <c r="BL18" i="10"/>
  <c r="BM17" i="10"/>
  <c r="BL17" i="10"/>
  <c r="BM12" i="10"/>
  <c r="BL12" i="10"/>
  <c r="BM11" i="10"/>
  <c r="BL11" i="10"/>
  <c r="BM10" i="10"/>
  <c r="BL10" i="10"/>
  <c r="BM9" i="10"/>
  <c r="BL9" i="10"/>
  <c r="BM8" i="10"/>
  <c r="BL8" i="10"/>
  <c r="BM7" i="10"/>
  <c r="BL7" i="10"/>
  <c r="BM6" i="10"/>
  <c r="BL6" i="10"/>
  <c r="BM111" i="9"/>
  <c r="BL111" i="9"/>
  <c r="BM110" i="9"/>
  <c r="BL110" i="9"/>
  <c r="BM109" i="9"/>
  <c r="BL109" i="9"/>
  <c r="BM108" i="9"/>
  <c r="BL108" i="9"/>
  <c r="BM107" i="9"/>
  <c r="BL107" i="9"/>
  <c r="BM106" i="9"/>
  <c r="BL106" i="9"/>
  <c r="BM105" i="9"/>
  <c r="BL105" i="9"/>
  <c r="BM89" i="9"/>
  <c r="BL89" i="9"/>
  <c r="BM88" i="9"/>
  <c r="BL88" i="9"/>
  <c r="BM87" i="9"/>
  <c r="BL87" i="9"/>
  <c r="BM86" i="9"/>
  <c r="BL86" i="9"/>
  <c r="BM85" i="9"/>
  <c r="BL85" i="9"/>
  <c r="BM84" i="9"/>
  <c r="BL84" i="9"/>
  <c r="BM83" i="9"/>
  <c r="BL83" i="9"/>
  <c r="BM78" i="9"/>
  <c r="BL78" i="9"/>
  <c r="BM77" i="9"/>
  <c r="BL77" i="9"/>
  <c r="BM76" i="9"/>
  <c r="BL76" i="9"/>
  <c r="BM75" i="9"/>
  <c r="BL75" i="9"/>
  <c r="BM74" i="9"/>
  <c r="BL74" i="9"/>
  <c r="BM73" i="9"/>
  <c r="BL73" i="9"/>
  <c r="BM72" i="9"/>
  <c r="BL72" i="9"/>
  <c r="BM67" i="9"/>
  <c r="BL67" i="9"/>
  <c r="BM66" i="9"/>
  <c r="BL66" i="9"/>
  <c r="BM65" i="9"/>
  <c r="BL65" i="9"/>
  <c r="BM64" i="9"/>
  <c r="BL64" i="9"/>
  <c r="BM63" i="9"/>
  <c r="BL63" i="9"/>
  <c r="BM62" i="9"/>
  <c r="BL62" i="9"/>
  <c r="BM61" i="9"/>
  <c r="BL61" i="9"/>
  <c r="BM56" i="9"/>
  <c r="BL56" i="9"/>
  <c r="BM55" i="9"/>
  <c r="BL55" i="9"/>
  <c r="BM54" i="9"/>
  <c r="BL54" i="9"/>
  <c r="BM53" i="9"/>
  <c r="BL53" i="9"/>
  <c r="BM52" i="9"/>
  <c r="BL52" i="9"/>
  <c r="BM51" i="9"/>
  <c r="BL51" i="9"/>
  <c r="BM50" i="9"/>
  <c r="BL50" i="9"/>
  <c r="BM45" i="9"/>
  <c r="BL45" i="9"/>
  <c r="BM44" i="9"/>
  <c r="BL44" i="9"/>
  <c r="BM43" i="9"/>
  <c r="BL43" i="9"/>
  <c r="BM42" i="9"/>
  <c r="BL42" i="9"/>
  <c r="BM41" i="9"/>
  <c r="BL41" i="9"/>
  <c r="BM40" i="9"/>
  <c r="BL40" i="9"/>
  <c r="BM39" i="9"/>
  <c r="BL39" i="9"/>
  <c r="BM34" i="9"/>
  <c r="BL34" i="9"/>
  <c r="BM33" i="9"/>
  <c r="BL33" i="9"/>
  <c r="BM32" i="9"/>
  <c r="BL32" i="9"/>
  <c r="BM31" i="9"/>
  <c r="BL31" i="9"/>
  <c r="BM30" i="9"/>
  <c r="BL30" i="9"/>
  <c r="BM29" i="9"/>
  <c r="BL29" i="9"/>
  <c r="BM28" i="9"/>
  <c r="BL28" i="9"/>
  <c r="BM23" i="9"/>
  <c r="BL23" i="9"/>
  <c r="BM22" i="9"/>
  <c r="BL22" i="9"/>
  <c r="BM21" i="9"/>
  <c r="BL21" i="9"/>
  <c r="BM20" i="9"/>
  <c r="BL20" i="9"/>
  <c r="BM19" i="9"/>
  <c r="BL19" i="9"/>
  <c r="BM18" i="9"/>
  <c r="BL18" i="9"/>
  <c r="BM17" i="9"/>
  <c r="BL17" i="9"/>
  <c r="BM12" i="9"/>
  <c r="BL12" i="9"/>
  <c r="BM11" i="9"/>
  <c r="BL11" i="9"/>
  <c r="BM10" i="9"/>
  <c r="BL10" i="9"/>
  <c r="BM9" i="9"/>
  <c r="BL9" i="9"/>
  <c r="BM8" i="9"/>
  <c r="BL8" i="9"/>
  <c r="BM7" i="9"/>
  <c r="BL7" i="9"/>
  <c r="BM6" i="9"/>
  <c r="BL6" i="9"/>
  <c r="BK98" i="9"/>
  <c r="BJ98" i="9"/>
  <c r="BI98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AV98" i="9"/>
  <c r="AU98" i="9"/>
  <c r="AT98" i="9"/>
  <c r="AS98" i="9"/>
  <c r="AR98" i="9"/>
  <c r="AQ98" i="9"/>
  <c r="AP98" i="9"/>
  <c r="AO98" i="9"/>
  <c r="AN98" i="9"/>
  <c r="AM98" i="9"/>
  <c r="AL98" i="9"/>
  <c r="AK98" i="9"/>
  <c r="AJ98" i="9"/>
  <c r="AI98" i="9"/>
  <c r="AH98" i="9"/>
  <c r="AG98" i="9"/>
  <c r="AF98" i="9"/>
  <c r="AE98" i="9"/>
  <c r="AD98" i="9"/>
  <c r="AC98" i="9"/>
  <c r="AB98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B9" i="13"/>
  <c r="AA9" i="13"/>
  <c r="Z9" i="13"/>
  <c r="Y9" i="13"/>
  <c r="X9" i="13"/>
  <c r="W9" i="13"/>
  <c r="V9" i="13"/>
  <c r="U9" i="13"/>
  <c r="T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S9" i="13"/>
  <c r="L9" i="13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B15" i="17"/>
  <c r="AA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Z15" i="17"/>
  <c r="DE15" i="6"/>
  <c r="DD15" i="6"/>
  <c r="DC15" i="6"/>
  <c r="DB15" i="6"/>
  <c r="DE12" i="6"/>
  <c r="DD12" i="6"/>
  <c r="DC12" i="6"/>
  <c r="DB12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B12" i="6"/>
  <c r="BA12" i="6"/>
  <c r="AZ12" i="6"/>
  <c r="AY12" i="6"/>
  <c r="AX12" i="6"/>
  <c r="AV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CK12" i="6"/>
  <c r="CJ12" i="6"/>
  <c r="CI12" i="6"/>
  <c r="CH12" i="6"/>
  <c r="AW12" i="6"/>
  <c r="AU12" i="6"/>
  <c r="AT12" i="6"/>
  <c r="BM95" i="11" l="1"/>
  <c r="BL97" i="11"/>
  <c r="BL95" i="11"/>
  <c r="BM96" i="11"/>
  <c r="BL96" i="11"/>
  <c r="BM98" i="9"/>
  <c r="BL98" i="9"/>
  <c r="BM97" i="11"/>
  <c r="BM15" i="12"/>
  <c r="BL15" i="12"/>
  <c r="EY17" i="2"/>
  <c r="EX17" i="2"/>
  <c r="EW17" i="2"/>
  <c r="EV17" i="2"/>
  <c r="EV18" i="2" s="1"/>
  <c r="EU17" i="2"/>
  <c r="ET17" i="2"/>
  <c r="ES17" i="2"/>
  <c r="ER17" i="2"/>
  <c r="EQ17" i="2"/>
  <c r="EP17" i="2"/>
  <c r="EO17" i="2"/>
  <c r="EN17" i="2"/>
  <c r="EM17" i="2"/>
  <c r="EL17" i="2"/>
  <c r="EK17" i="2"/>
  <c r="EK18" i="2" s="1"/>
  <c r="EJ17" i="2"/>
  <c r="EJ18" i="2" s="1"/>
  <c r="EI17" i="2"/>
  <c r="EH17" i="2"/>
  <c r="EG17" i="2"/>
  <c r="EG18" i="2" s="1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L18" i="2" s="1"/>
  <c r="DK17" i="2"/>
  <c r="DJ17" i="2"/>
  <c r="DI17" i="2"/>
  <c r="DH17" i="2"/>
  <c r="DG17" i="2"/>
  <c r="DF17" i="2"/>
  <c r="DE17" i="2"/>
  <c r="DD17" i="2"/>
  <c r="DC17" i="2"/>
  <c r="DB17" i="2"/>
  <c r="DA17" i="2"/>
  <c r="DA18" i="2" s="1"/>
  <c r="CZ17" i="2"/>
  <c r="CY17" i="2"/>
  <c r="CX17" i="2"/>
  <c r="CW17" i="2"/>
  <c r="CV17" i="2"/>
  <c r="CV18" i="2" s="1"/>
  <c r="CU17" i="2"/>
  <c r="CT17" i="2"/>
  <c r="CS17" i="2"/>
  <c r="CR17" i="2"/>
  <c r="CQ17" i="2"/>
  <c r="CP17" i="2"/>
  <c r="CO17" i="2"/>
  <c r="CN17" i="2"/>
  <c r="CM17" i="2"/>
  <c r="CL17" i="2"/>
  <c r="CK17" i="2"/>
  <c r="CK18" i="2" s="1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X18" i="2" s="1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W18" i="2" s="1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R18" i="2" s="1"/>
  <c r="Q17" i="2"/>
  <c r="Q18" i="2" s="1"/>
  <c r="P17" i="2"/>
  <c r="O17" i="2"/>
  <c r="N17" i="2"/>
  <c r="M17" i="2"/>
  <c r="L17" i="2"/>
  <c r="L18" i="2" s="1"/>
  <c r="K17" i="2"/>
  <c r="J17" i="2"/>
  <c r="I17" i="2"/>
  <c r="H17" i="2"/>
  <c r="H18" i="2" s="1"/>
  <c r="G17" i="2"/>
  <c r="F17" i="2"/>
  <c r="E17" i="2"/>
  <c r="D17" i="2"/>
  <c r="C17" i="2"/>
  <c r="B17" i="2"/>
  <c r="EZ17" i="2"/>
  <c r="EZ11" i="2"/>
  <c r="EY11" i="2"/>
  <c r="EY18" i="2" s="1"/>
  <c r="EX11" i="2"/>
  <c r="EW11" i="2"/>
  <c r="EV11" i="2"/>
  <c r="EU11" i="2"/>
  <c r="ET11" i="2"/>
  <c r="ES11" i="2"/>
  <c r="ER11" i="2"/>
  <c r="EQ11" i="2"/>
  <c r="EQ18" i="2" s="1"/>
  <c r="EP11" i="2"/>
  <c r="EO11" i="2"/>
  <c r="EN11" i="2"/>
  <c r="EM11" i="2"/>
  <c r="EL11" i="2"/>
  <c r="EK11" i="2"/>
  <c r="EJ11" i="2"/>
  <c r="EI11" i="2"/>
  <c r="EI18" i="2" s="1"/>
  <c r="EH11" i="2"/>
  <c r="EG11" i="2"/>
  <c r="EF11" i="2"/>
  <c r="EE11" i="2"/>
  <c r="ED11" i="2"/>
  <c r="EC11" i="2"/>
  <c r="EB11" i="2"/>
  <c r="EA11" i="2"/>
  <c r="EA18" i="2" s="1"/>
  <c r="DZ11" i="2"/>
  <c r="DZ18" i="2" s="1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I18" i="2" s="1"/>
  <c r="DH11" i="2"/>
  <c r="DH18" i="2" s="1"/>
  <c r="DG11" i="2"/>
  <c r="DF11" i="2"/>
  <c r="DE11" i="2"/>
  <c r="DD11" i="2"/>
  <c r="DC11" i="2"/>
  <c r="DB11" i="2"/>
  <c r="DB18" i="2" s="1"/>
  <c r="DA11" i="2"/>
  <c r="CZ11" i="2"/>
  <c r="CZ18" i="2" s="1"/>
  <c r="CY11" i="2"/>
  <c r="CX11" i="2"/>
  <c r="CW11" i="2"/>
  <c r="CW18" i="2" s="1"/>
  <c r="CV11" i="2"/>
  <c r="CU11" i="2"/>
  <c r="CU18" i="2" s="1"/>
  <c r="CT11" i="2"/>
  <c r="CT18" i="2" s="1"/>
  <c r="CS11" i="2"/>
  <c r="CR11" i="2"/>
  <c r="CQ11" i="2"/>
  <c r="CP11" i="2"/>
  <c r="CO11" i="2"/>
  <c r="CN11" i="2"/>
  <c r="CM11" i="2"/>
  <c r="CM18" i="2" s="1"/>
  <c r="CL11" i="2"/>
  <c r="CL18" i="2" s="1"/>
  <c r="CK11" i="2"/>
  <c r="CJ11" i="2"/>
  <c r="CI11" i="2"/>
  <c r="CH11" i="2"/>
  <c r="CG11" i="2"/>
  <c r="CF11" i="2"/>
  <c r="CE11" i="2"/>
  <c r="CE18" i="2" s="1"/>
  <c r="CD11" i="2"/>
  <c r="CC11" i="2"/>
  <c r="CB11" i="2"/>
  <c r="CA11" i="2"/>
  <c r="BZ11" i="2"/>
  <c r="BY11" i="2"/>
  <c r="BX11" i="2"/>
  <c r="BW11" i="2"/>
  <c r="BW18" i="2" s="1"/>
  <c r="BV11" i="2"/>
  <c r="BV18" i="2" s="1"/>
  <c r="BU11" i="2"/>
  <c r="BT11" i="2"/>
  <c r="BT18" i="2" s="1"/>
  <c r="BS11" i="2"/>
  <c r="BR11" i="2"/>
  <c r="BQ11" i="2"/>
  <c r="BP11" i="2"/>
  <c r="BO11" i="2"/>
  <c r="BO18" i="2" s="1"/>
  <c r="BN11" i="2"/>
  <c r="BM11" i="2"/>
  <c r="BL11" i="2"/>
  <c r="BL18" i="2" s="1"/>
  <c r="BK11" i="2"/>
  <c r="BJ11" i="2"/>
  <c r="BI11" i="2"/>
  <c r="BH11" i="2"/>
  <c r="BG11" i="2"/>
  <c r="BG18" i="2" s="1"/>
  <c r="BF11" i="2"/>
  <c r="BF18" i="2" s="1"/>
  <c r="BE11" i="2"/>
  <c r="BD11" i="2"/>
  <c r="BC11" i="2"/>
  <c r="BB11" i="2"/>
  <c r="BA11" i="2"/>
  <c r="AZ11" i="2"/>
  <c r="AY11" i="2"/>
  <c r="AY18" i="2" s="1"/>
  <c r="AX11" i="2"/>
  <c r="AX18" i="2" s="1"/>
  <c r="AW11" i="2"/>
  <c r="AV11" i="2"/>
  <c r="AU11" i="2"/>
  <c r="AT11" i="2"/>
  <c r="AS11" i="2"/>
  <c r="AR11" i="2"/>
  <c r="AQ11" i="2"/>
  <c r="AQ18" i="2" s="1"/>
  <c r="AP11" i="2"/>
  <c r="AP18" i="2" s="1"/>
  <c r="AO11" i="2"/>
  <c r="AN11" i="2"/>
  <c r="AN18" i="2" s="1"/>
  <c r="AM11" i="2"/>
  <c r="AL11" i="2"/>
  <c r="AK11" i="2"/>
  <c r="AJ11" i="2"/>
  <c r="AI11" i="2"/>
  <c r="AI18" i="2" s="1"/>
  <c r="AH11" i="2"/>
  <c r="AH18" i="2" s="1"/>
  <c r="AG11" i="2"/>
  <c r="AF11" i="2"/>
  <c r="AE11" i="2"/>
  <c r="AD11" i="2"/>
  <c r="AC11" i="2"/>
  <c r="AB11" i="2"/>
  <c r="AA11" i="2"/>
  <c r="AA18" i="2" s="1"/>
  <c r="Z11" i="2"/>
  <c r="Z18" i="2" s="1"/>
  <c r="Y11" i="2"/>
  <c r="Y18" i="2" s="1"/>
  <c r="X11" i="2"/>
  <c r="X18" i="2" s="1"/>
  <c r="W11" i="2"/>
  <c r="W18" i="2" s="1"/>
  <c r="V11" i="2"/>
  <c r="U11" i="2"/>
  <c r="P11" i="2"/>
  <c r="O11" i="2"/>
  <c r="N11" i="2"/>
  <c r="M11" i="2"/>
  <c r="L11" i="2"/>
  <c r="K11" i="2"/>
  <c r="K18" i="2" s="1"/>
  <c r="J11" i="2"/>
  <c r="I11" i="2"/>
  <c r="H11" i="2"/>
  <c r="G11" i="2"/>
  <c r="F11" i="2"/>
  <c r="E11" i="2"/>
  <c r="D11" i="2"/>
  <c r="C11" i="2"/>
  <c r="B11" i="2"/>
  <c r="DY18" i="2"/>
  <c r="DX18" i="2"/>
  <c r="CS18" i="2"/>
  <c r="BM18" i="2"/>
  <c r="M18" i="2"/>
  <c r="J18" i="2"/>
  <c r="I18" i="2"/>
  <c r="EP18" i="2" l="1"/>
  <c r="EO18" i="2"/>
  <c r="EN18" i="2"/>
  <c r="EM18" i="2"/>
  <c r="EF18" i="2"/>
  <c r="DW18" i="2"/>
  <c r="DR18" i="2"/>
  <c r="DT18" i="2"/>
  <c r="DQ18" i="2"/>
  <c r="DP18" i="2"/>
  <c r="DJ18" i="2"/>
  <c r="EH18" i="2"/>
  <c r="ER18" i="2"/>
  <c r="EU18" i="2"/>
  <c r="EX18" i="2"/>
  <c r="EW18" i="2"/>
  <c r="EZ18" i="2"/>
  <c r="CR18" i="2"/>
  <c r="CQ18" i="2"/>
  <c r="CN18" i="2"/>
  <c r="CJ18" i="2"/>
  <c r="CI18" i="2"/>
  <c r="CC18" i="2"/>
  <c r="BY18" i="2"/>
  <c r="BU18" i="2"/>
  <c r="BN18" i="2"/>
  <c r="BK18" i="2"/>
  <c r="AV18" i="2"/>
  <c r="AU18" i="2"/>
  <c r="AO18" i="2"/>
  <c r="AM18" i="2"/>
  <c r="AK18" i="2"/>
  <c r="AF18" i="2"/>
  <c r="AG18" i="2"/>
  <c r="AE18" i="2"/>
  <c r="BE18" i="2"/>
  <c r="P18" i="2"/>
  <c r="O18" i="2"/>
  <c r="G18" i="2"/>
  <c r="F18" i="2"/>
  <c r="V18" i="2"/>
  <c r="AL18" i="2"/>
  <c r="BJ18" i="2"/>
  <c r="CP18" i="2"/>
  <c r="DV18" i="2"/>
  <c r="ET18" i="2"/>
  <c r="N18" i="2"/>
  <c r="AD18" i="2"/>
  <c r="AT18" i="2"/>
  <c r="EL18" i="2"/>
  <c r="CB18" i="2"/>
  <c r="CD18" i="2"/>
  <c r="D18" i="2"/>
  <c r="AB18" i="2"/>
  <c r="AJ18" i="2"/>
  <c r="AR18" i="2"/>
  <c r="AZ18" i="2"/>
  <c r="BH18" i="2"/>
  <c r="BP18" i="2"/>
  <c r="CF18" i="2"/>
  <c r="E18" i="2"/>
  <c r="U18" i="2"/>
  <c r="AC18" i="2"/>
  <c r="AS18" i="2"/>
  <c r="BI18" i="2"/>
  <c r="BQ18" i="2"/>
  <c r="CG18" i="2"/>
  <c r="CO18" i="2"/>
  <c r="DM18" i="2"/>
  <c r="ES18" i="2"/>
  <c r="DS18" i="2"/>
  <c r="DU18" i="2"/>
  <c r="DG18" i="2"/>
  <c r="DF18" i="2"/>
  <c r="DC18" i="2"/>
  <c r="DE18" i="2"/>
  <c r="DD18" i="2"/>
  <c r="CA18" i="2"/>
  <c r="BZ18" i="2"/>
  <c r="CH18" i="2"/>
  <c r="C18" i="2"/>
  <c r="B18" i="2"/>
  <c r="EE18" i="2"/>
  <c r="ED18" i="2"/>
  <c r="EC18" i="2"/>
  <c r="EB18" i="2"/>
  <c r="DO18" i="2"/>
  <c r="DN18" i="2"/>
  <c r="DK18" i="2"/>
  <c r="CY18" i="2"/>
  <c r="CX18" i="2"/>
  <c r="BS18" i="2"/>
  <c r="BR18" i="2"/>
  <c r="BD18" i="2"/>
  <c r="BC18" i="2"/>
  <c r="BB18" i="2"/>
  <c r="BA18" i="2"/>
  <c r="T18" i="2"/>
  <c r="S18" i="2"/>
  <c r="L50" i="20"/>
  <c r="L51" i="20" s="1"/>
  <c r="AC80" i="20"/>
  <c r="AC81" i="20" s="1"/>
  <c r="U80" i="20"/>
  <c r="U81" i="20" s="1"/>
  <c r="M80" i="20"/>
  <c r="M81" i="20" s="1"/>
  <c r="AB80" i="20"/>
  <c r="AB81" i="20" s="1"/>
  <c r="T80" i="20"/>
  <c r="T81" i="20" s="1"/>
  <c r="Q80" i="20"/>
  <c r="Q81" i="20" s="1"/>
  <c r="E80" i="20"/>
  <c r="E81" i="20" s="1"/>
  <c r="I80" i="20"/>
  <c r="I81" i="20" s="1"/>
  <c r="K80" i="20"/>
  <c r="K81" i="20" s="1"/>
  <c r="D80" i="20"/>
  <c r="D81" i="20" s="1"/>
  <c r="C80" i="20"/>
  <c r="C81" i="20" s="1"/>
  <c r="AE80" i="20"/>
  <c r="AE81" i="20" s="1"/>
  <c r="AD80" i="20"/>
  <c r="AD81" i="20" s="1"/>
  <c r="AA80" i="20"/>
  <c r="AA81" i="20" s="1"/>
  <c r="W80" i="20"/>
  <c r="W81" i="20" s="1"/>
  <c r="R80" i="20"/>
  <c r="R81" i="20" s="1"/>
  <c r="N80" i="20"/>
  <c r="N81" i="20" s="1"/>
  <c r="AF90" i="20"/>
  <c r="AF91" i="20" s="1"/>
  <c r="AE90" i="20"/>
  <c r="AE91" i="20" s="1"/>
  <c r="AD90" i="20"/>
  <c r="AD91" i="20" s="1"/>
  <c r="AB90" i="20"/>
  <c r="AB91" i="20" s="1"/>
  <c r="AA90" i="20"/>
  <c r="AA91" i="20" s="1"/>
  <c r="Z90" i="20"/>
  <c r="Z91" i="20" s="1"/>
  <c r="Y90" i="20"/>
  <c r="Y91" i="20" s="1"/>
  <c r="X90" i="20"/>
  <c r="X91" i="20" s="1"/>
  <c r="W90" i="20"/>
  <c r="W91" i="20" s="1"/>
  <c r="V90" i="20"/>
  <c r="V91" i="20" s="1"/>
  <c r="U90" i="20"/>
  <c r="U91" i="20" s="1"/>
  <c r="T90" i="20"/>
  <c r="T91" i="20" s="1"/>
  <c r="S90" i="20"/>
  <c r="S91" i="20" s="1"/>
  <c r="R90" i="20"/>
  <c r="R91" i="20" s="1"/>
  <c r="Q90" i="20"/>
  <c r="Q91" i="20" s="1"/>
  <c r="P90" i="20"/>
  <c r="P91" i="20" s="1"/>
  <c r="O90" i="20"/>
  <c r="O91" i="20" s="1"/>
  <c r="N90" i="20"/>
  <c r="N91" i="20" s="1"/>
  <c r="M90" i="20"/>
  <c r="M91" i="20" s="1"/>
  <c r="L90" i="20"/>
  <c r="L91" i="20" s="1"/>
  <c r="K90" i="20"/>
  <c r="K91" i="20" s="1"/>
  <c r="J90" i="20"/>
  <c r="J91" i="20" s="1"/>
  <c r="I90" i="20"/>
  <c r="I91" i="20" s="1"/>
  <c r="H90" i="20"/>
  <c r="H91" i="20" s="1"/>
  <c r="G90" i="20"/>
  <c r="G91" i="20" s="1"/>
  <c r="F90" i="20"/>
  <c r="F91" i="20" s="1"/>
  <c r="E90" i="20"/>
  <c r="E91" i="20" s="1"/>
  <c r="D90" i="20"/>
  <c r="D91" i="20" s="1"/>
  <c r="C90" i="20"/>
  <c r="C91" i="20" s="1"/>
  <c r="B90" i="20"/>
  <c r="B91" i="20" s="1"/>
  <c r="AE70" i="20"/>
  <c r="AE71" i="20" s="1"/>
  <c r="AB70" i="20"/>
  <c r="AB71" i="20" s="1"/>
  <c r="Y70" i="20"/>
  <c r="W70" i="20"/>
  <c r="W71" i="20" s="1"/>
  <c r="T70" i="20"/>
  <c r="T71" i="20" s="1"/>
  <c r="P70" i="20"/>
  <c r="P71" i="20" s="1"/>
  <c r="M70" i="20"/>
  <c r="M71" i="20" s="1"/>
  <c r="L70" i="20"/>
  <c r="K70" i="20"/>
  <c r="K71" i="20" s="1"/>
  <c r="H70" i="20"/>
  <c r="H71" i="20" s="1"/>
  <c r="E70" i="20"/>
  <c r="E71" i="20" s="1"/>
  <c r="AF60" i="20"/>
  <c r="AF61" i="20" s="1"/>
  <c r="AE60" i="20"/>
  <c r="AE61" i="20" s="1"/>
  <c r="AB60" i="20"/>
  <c r="AB61" i="20" s="1"/>
  <c r="Y60" i="20"/>
  <c r="Y61" i="20" s="1"/>
  <c r="X60" i="20"/>
  <c r="X61" i="20" s="1"/>
  <c r="W60" i="20"/>
  <c r="W61" i="20" s="1"/>
  <c r="T60" i="20"/>
  <c r="T61" i="20" s="1"/>
  <c r="P60" i="20"/>
  <c r="P61" i="20" s="1"/>
  <c r="N60" i="20"/>
  <c r="N61" i="20" s="1"/>
  <c r="M60" i="20"/>
  <c r="M61" i="20" s="1"/>
  <c r="L60" i="20"/>
  <c r="L61" i="20" s="1"/>
  <c r="K60" i="20"/>
  <c r="K61" i="20" s="1"/>
  <c r="H60" i="20"/>
  <c r="H61" i="20" s="1"/>
  <c r="G60" i="20"/>
  <c r="E60" i="20"/>
  <c r="E61" i="20" s="1"/>
  <c r="D60" i="20"/>
  <c r="D61" i="20" s="1"/>
  <c r="AF50" i="20"/>
  <c r="AF51" i="20" s="1"/>
  <c r="AE50" i="20"/>
  <c r="AE51" i="20" s="1"/>
  <c r="AD50" i="20"/>
  <c r="AD51" i="20" s="1"/>
  <c r="AB50" i="20"/>
  <c r="AB51" i="20" s="1"/>
  <c r="AA50" i="20"/>
  <c r="AA51" i="20" s="1"/>
  <c r="Z50" i="20"/>
  <c r="Z51" i="20" s="1"/>
  <c r="Y50" i="20"/>
  <c r="Y51" i="20" s="1"/>
  <c r="X50" i="20"/>
  <c r="X51" i="20" s="1"/>
  <c r="W50" i="20"/>
  <c r="W51" i="20" s="1"/>
  <c r="U50" i="20"/>
  <c r="U51" i="20" s="1"/>
  <c r="T50" i="20"/>
  <c r="T51" i="20" s="1"/>
  <c r="S50" i="20"/>
  <c r="S51" i="20" s="1"/>
  <c r="R50" i="20"/>
  <c r="R51" i="20" s="1"/>
  <c r="Q50" i="20"/>
  <c r="Q51" i="20" s="1"/>
  <c r="P50" i="20"/>
  <c r="P51" i="20" s="1"/>
  <c r="O50" i="20"/>
  <c r="O51" i="20" s="1"/>
  <c r="N50" i="20"/>
  <c r="N51" i="20" s="1"/>
  <c r="M50" i="20"/>
  <c r="M51" i="20" s="1"/>
  <c r="K50" i="20"/>
  <c r="K51" i="20" s="1"/>
  <c r="J50" i="20"/>
  <c r="J51" i="20" s="1"/>
  <c r="H50" i="20"/>
  <c r="H51" i="20" s="1"/>
  <c r="G50" i="20"/>
  <c r="G51" i="20" s="1"/>
  <c r="F50" i="20"/>
  <c r="F51" i="20" s="1"/>
  <c r="E50" i="20"/>
  <c r="E51" i="20" s="1"/>
  <c r="C50" i="20"/>
  <c r="C51" i="20" s="1"/>
  <c r="B50" i="20"/>
  <c r="B51" i="20" s="1"/>
  <c r="AF40" i="20"/>
  <c r="AF41" i="20" s="1"/>
  <c r="AE40" i="20"/>
  <c r="AE41" i="20" s="1"/>
  <c r="AD40" i="20"/>
  <c r="AD41" i="20" s="1"/>
  <c r="AB40" i="20"/>
  <c r="AB41" i="20" s="1"/>
  <c r="Z40" i="20"/>
  <c r="Z41" i="20" s="1"/>
  <c r="Y40" i="20"/>
  <c r="Y41" i="20" s="1"/>
  <c r="X40" i="20"/>
  <c r="X41" i="20" s="1"/>
  <c r="W40" i="20"/>
  <c r="W41" i="20" s="1"/>
  <c r="V40" i="20"/>
  <c r="V41" i="20" s="1"/>
  <c r="U40" i="20"/>
  <c r="U41" i="20" s="1"/>
  <c r="T40" i="20"/>
  <c r="T41" i="20" s="1"/>
  <c r="Q40" i="20"/>
  <c r="Q41" i="20" s="1"/>
  <c r="P40" i="20"/>
  <c r="P41" i="20" s="1"/>
  <c r="O40" i="20"/>
  <c r="O41" i="20" s="1"/>
  <c r="N40" i="20"/>
  <c r="N41" i="20" s="1"/>
  <c r="M40" i="20"/>
  <c r="M41" i="20" s="1"/>
  <c r="L40" i="20"/>
  <c r="L41" i="20" s="1"/>
  <c r="K40" i="20"/>
  <c r="K41" i="20" s="1"/>
  <c r="J40" i="20"/>
  <c r="J41" i="20" s="1"/>
  <c r="H40" i="20"/>
  <c r="H41" i="20" s="1"/>
  <c r="G40" i="20"/>
  <c r="G41" i="20" s="1"/>
  <c r="E40" i="20"/>
  <c r="E41" i="20" s="1"/>
  <c r="AF30" i="20"/>
  <c r="AF31" i="20" s="1"/>
  <c r="AE30" i="20"/>
  <c r="AE31" i="20" s="1"/>
  <c r="AD30" i="20"/>
  <c r="AD31" i="20" s="1"/>
  <c r="AB30" i="20"/>
  <c r="AB31" i="20" s="1"/>
  <c r="Z30" i="20"/>
  <c r="Z31" i="20" s="1"/>
  <c r="Y30" i="20"/>
  <c r="Y31" i="20" s="1"/>
  <c r="X30" i="20"/>
  <c r="X31" i="20" s="1"/>
  <c r="W30" i="20"/>
  <c r="W31" i="20" s="1"/>
  <c r="V30" i="20"/>
  <c r="V31" i="20" s="1"/>
  <c r="U30" i="20"/>
  <c r="U31" i="20" s="1"/>
  <c r="T30" i="20"/>
  <c r="T31" i="20" s="1"/>
  <c r="Q30" i="20"/>
  <c r="Q31" i="20" s="1"/>
  <c r="P30" i="20"/>
  <c r="P31" i="20" s="1"/>
  <c r="O30" i="20"/>
  <c r="O31" i="20" s="1"/>
  <c r="N30" i="20"/>
  <c r="N31" i="20" s="1"/>
  <c r="M30" i="20"/>
  <c r="M31" i="20" s="1"/>
  <c r="L30" i="20"/>
  <c r="L31" i="20" s="1"/>
  <c r="K30" i="20"/>
  <c r="K31" i="20" s="1"/>
  <c r="J30" i="20"/>
  <c r="J31" i="20" s="1"/>
  <c r="H30" i="20"/>
  <c r="H31" i="20" s="1"/>
  <c r="G30" i="20"/>
  <c r="G31" i="20" s="1"/>
  <c r="E30" i="20"/>
  <c r="E31" i="20" s="1"/>
  <c r="B30" i="20"/>
  <c r="B31" i="20" s="1"/>
  <c r="AF20" i="20"/>
  <c r="AF21" i="20" s="1"/>
  <c r="AE20" i="20"/>
  <c r="AE21" i="20" s="1"/>
  <c r="AD20" i="20"/>
  <c r="AD21" i="20" s="1"/>
  <c r="AB20" i="20"/>
  <c r="AB21" i="20" s="1"/>
  <c r="Z20" i="20"/>
  <c r="Z21" i="20" s="1"/>
  <c r="Y20" i="20"/>
  <c r="Y21" i="20" s="1"/>
  <c r="X20" i="20"/>
  <c r="X21" i="20" s="1"/>
  <c r="W20" i="20"/>
  <c r="W21" i="20" s="1"/>
  <c r="V20" i="20"/>
  <c r="V21" i="20" s="1"/>
  <c r="T20" i="20"/>
  <c r="T21" i="20" s="1"/>
  <c r="Q20" i="20"/>
  <c r="Q21" i="20" s="1"/>
  <c r="P20" i="20"/>
  <c r="P21" i="20" s="1"/>
  <c r="O20" i="20"/>
  <c r="O21" i="20" s="1"/>
  <c r="N20" i="20"/>
  <c r="N21" i="20" s="1"/>
  <c r="M20" i="20"/>
  <c r="M21" i="20" s="1"/>
  <c r="L20" i="20"/>
  <c r="L21" i="20" s="1"/>
  <c r="K20" i="20"/>
  <c r="K21" i="20" s="1"/>
  <c r="J20" i="20"/>
  <c r="J21" i="20" s="1"/>
  <c r="H20" i="20"/>
  <c r="H21" i="20" s="1"/>
  <c r="G20" i="20"/>
  <c r="G21" i="20" s="1"/>
  <c r="E20" i="20"/>
  <c r="E21" i="20" s="1"/>
  <c r="AF10" i="20"/>
  <c r="AF11" i="20" s="1"/>
  <c r="AE10" i="20"/>
  <c r="AE11" i="20" s="1"/>
  <c r="AD10" i="20"/>
  <c r="AD11" i="20" s="1"/>
  <c r="AB10" i="20"/>
  <c r="AB11" i="20" s="1"/>
  <c r="Z10" i="20"/>
  <c r="Z11" i="20" s="1"/>
  <c r="Y10" i="20"/>
  <c r="Y11" i="20" s="1"/>
  <c r="X10" i="20"/>
  <c r="X11" i="20" s="1"/>
  <c r="W10" i="20"/>
  <c r="W11" i="20" s="1"/>
  <c r="V10" i="20"/>
  <c r="V11" i="20" s="1"/>
  <c r="U10" i="20"/>
  <c r="U11" i="20" s="1"/>
  <c r="T10" i="20"/>
  <c r="T11" i="20" s="1"/>
  <c r="Q10" i="20"/>
  <c r="Q11" i="20" s="1"/>
  <c r="P10" i="20"/>
  <c r="P11" i="20" s="1"/>
  <c r="O10" i="20"/>
  <c r="O11" i="20" s="1"/>
  <c r="N10" i="20"/>
  <c r="N11" i="20" s="1"/>
  <c r="M10" i="20"/>
  <c r="M11" i="20" s="1"/>
  <c r="K10" i="20"/>
  <c r="K11" i="20" s="1"/>
  <c r="J10" i="20"/>
  <c r="J11" i="20" s="1"/>
  <c r="H10" i="20"/>
  <c r="H11" i="20" s="1"/>
  <c r="G10" i="20"/>
  <c r="G11" i="20" s="1"/>
  <c r="E10" i="20"/>
  <c r="E11" i="20" s="1"/>
  <c r="B10" i="20"/>
  <c r="B11" i="20" s="1"/>
  <c r="L10" i="20"/>
  <c r="L11" i="20" s="1"/>
  <c r="J80" i="20" l="1"/>
  <c r="J81" i="20" s="1"/>
  <c r="H80" i="20"/>
  <c r="H81" i="20" s="1"/>
  <c r="F80" i="20"/>
  <c r="F81" i="20" s="1"/>
  <c r="G80" i="20"/>
  <c r="G81" i="20" s="1"/>
  <c r="P80" i="20"/>
  <c r="P81" i="20" s="1"/>
  <c r="X80" i="20"/>
  <c r="X81" i="20" s="1"/>
  <c r="AF80" i="20"/>
  <c r="AF81" i="20" s="1"/>
  <c r="Z80" i="20"/>
  <c r="Z81" i="20" s="1"/>
  <c r="S80" i="20"/>
  <c r="S81" i="20" s="1"/>
  <c r="B80" i="20"/>
  <c r="B81" i="20" s="1"/>
  <c r="Y80" i="20"/>
  <c r="Y81" i="20" s="1"/>
  <c r="V50" i="20"/>
  <c r="V51" i="20" s="1"/>
  <c r="V80" i="20"/>
  <c r="V81" i="20" s="1"/>
  <c r="O80" i="20"/>
  <c r="O81" i="20" s="1"/>
  <c r="L80" i="20"/>
  <c r="L81" i="20" s="1"/>
  <c r="BK99" i="9" l="1"/>
  <c r="BJ99" i="9"/>
  <c r="BI99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Z16" i="8"/>
  <c r="AC16" i="8"/>
  <c r="I16" i="8"/>
  <c r="BM99" i="9" l="1"/>
  <c r="BL99" i="9"/>
  <c r="AA16" i="8"/>
  <c r="CJ35" i="14" l="1"/>
  <c r="CJ34" i="14"/>
  <c r="CJ33" i="14"/>
  <c r="CJ32" i="14"/>
  <c r="CJ31" i="14"/>
  <c r="CJ30" i="14"/>
  <c r="CJ28" i="14"/>
  <c r="CJ27" i="14"/>
  <c r="CJ26" i="14"/>
  <c r="CJ25" i="14"/>
  <c r="CJ24" i="14"/>
  <c r="CJ23" i="14"/>
  <c r="CJ22" i="14"/>
  <c r="CJ19" i="14"/>
  <c r="CJ18" i="14"/>
  <c r="CJ17" i="14"/>
  <c r="CJ16" i="14"/>
  <c r="CJ15" i="14"/>
  <c r="CJ14" i="14"/>
  <c r="CJ12" i="14"/>
  <c r="CJ11" i="14"/>
  <c r="CJ10" i="14"/>
  <c r="CJ7" i="14"/>
  <c r="CJ6" i="14"/>
  <c r="BC6" i="14"/>
  <c r="BC7" i="14"/>
  <c r="AQ18" i="14"/>
  <c r="AQ17" i="14"/>
  <c r="AQ16" i="14"/>
  <c r="AQ15" i="14"/>
  <c r="AQ14" i="14"/>
  <c r="AQ12" i="14"/>
  <c r="AQ11" i="14"/>
  <c r="AQ10" i="14"/>
  <c r="AQ9" i="14"/>
  <c r="AQ8" i="14"/>
  <c r="AQ7" i="14"/>
  <c r="AQ6" i="14"/>
  <c r="AD16" i="8" l="1"/>
  <c r="S7" i="1" l="1"/>
  <c r="G16" i="8"/>
  <c r="CB36" i="14" l="1"/>
  <c r="CC36" i="14"/>
  <c r="AG16" i="17" l="1"/>
  <c r="DA12" i="6" l="1"/>
  <c r="AD54" i="15" l="1"/>
  <c r="CP35" i="14" l="1"/>
  <c r="CP34" i="14"/>
  <c r="CP33" i="14"/>
  <c r="CP30" i="14"/>
  <c r="CP28" i="14"/>
  <c r="CP22" i="14"/>
  <c r="CP19" i="14"/>
  <c r="CP18" i="14"/>
  <c r="CP14" i="14"/>
  <c r="CP10" i="14"/>
  <c r="CP6" i="14"/>
  <c r="BX33" i="14"/>
  <c r="BX14" i="14"/>
  <c r="BX10" i="14"/>
  <c r="BX7" i="14"/>
  <c r="BX6" i="14"/>
  <c r="V33" i="14"/>
  <c r="BL34" i="14" l="1"/>
  <c r="BL30" i="14"/>
  <c r="BL28" i="14"/>
  <c r="BL27" i="14"/>
  <c r="BL22" i="14"/>
  <c r="BL18" i="14"/>
  <c r="BL16" i="14"/>
  <c r="BL15" i="14"/>
  <c r="BL14" i="14"/>
  <c r="BL11" i="14"/>
  <c r="BL10" i="14"/>
  <c r="BL7" i="14"/>
  <c r="BL6" i="14"/>
  <c r="BX34" i="14"/>
  <c r="BX30" i="14"/>
  <c r="BX28" i="14"/>
  <c r="BX23" i="14"/>
  <c r="BX22" i="14"/>
  <c r="BX19" i="14"/>
  <c r="BX18" i="14"/>
  <c r="AA7" i="1" l="1"/>
  <c r="AA13" i="1"/>
  <c r="AA15" i="1"/>
  <c r="AF16" i="8" l="1"/>
  <c r="AB16" i="8"/>
  <c r="Y16" i="8"/>
  <c r="X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F16" i="8"/>
  <c r="B16" i="8"/>
  <c r="E16" i="8"/>
  <c r="O15" i="1" l="1"/>
  <c r="O13" i="1"/>
  <c r="O7" i="1"/>
  <c r="AQ13" i="1" l="1"/>
  <c r="AQ7" i="1" l="1"/>
  <c r="AQ15" i="1"/>
  <c r="AF23" i="7" l="1"/>
  <c r="AF25" i="7" s="1"/>
  <c r="AF21" i="7"/>
  <c r="AF15" i="7"/>
  <c r="AG15" i="1" l="1"/>
  <c r="AG13" i="1"/>
  <c r="AG7" i="1"/>
  <c r="AM13" i="1" l="1"/>
  <c r="AC15" i="1" l="1"/>
  <c r="AC13" i="1"/>
  <c r="I15" i="1"/>
  <c r="H15" i="1"/>
  <c r="G15" i="1"/>
  <c r="F15" i="1"/>
  <c r="E15" i="1"/>
  <c r="D15" i="1"/>
  <c r="C15" i="1"/>
  <c r="I13" i="1"/>
  <c r="H13" i="1"/>
  <c r="G13" i="1"/>
  <c r="F13" i="1"/>
  <c r="E13" i="1"/>
  <c r="D13" i="1"/>
  <c r="C13" i="1"/>
  <c r="I7" i="1"/>
  <c r="H7" i="1"/>
  <c r="G7" i="1"/>
  <c r="F7" i="1"/>
  <c r="E7" i="1"/>
  <c r="D7" i="1"/>
  <c r="C7" i="1"/>
  <c r="BI15" i="1"/>
  <c r="BG15" i="1"/>
  <c r="BF15" i="1"/>
  <c r="BI13" i="1"/>
  <c r="BG13" i="1"/>
  <c r="BF13" i="1"/>
  <c r="BI7" i="1"/>
  <c r="BG7" i="1"/>
  <c r="BF7" i="1"/>
  <c r="BC15" i="1"/>
  <c r="BC13" i="1"/>
  <c r="BC7" i="1"/>
  <c r="BA13" i="1"/>
  <c r="AY15" i="1"/>
  <c r="AY13" i="1"/>
  <c r="AY7" i="1"/>
  <c r="AS15" i="1"/>
  <c r="AS13" i="1"/>
  <c r="AS7" i="1"/>
  <c r="AE15" i="1"/>
  <c r="AE13" i="1"/>
  <c r="AE7" i="1"/>
  <c r="Y15" i="1"/>
  <c r="Y13" i="1"/>
  <c r="Y7" i="1"/>
  <c r="W15" i="1"/>
  <c r="W13" i="1"/>
  <c r="W7" i="1"/>
  <c r="BA15" i="1" l="1"/>
  <c r="AC7" i="1"/>
  <c r="M15" i="1"/>
  <c r="M13" i="1"/>
  <c r="M7" i="1"/>
  <c r="BA7" i="1"/>
  <c r="BZ20" i="14"/>
  <c r="AI15" i="1" l="1"/>
  <c r="AI13" i="1" l="1"/>
  <c r="AI7" i="1"/>
  <c r="CO36" i="14"/>
  <c r="CN36" i="14"/>
  <c r="CP32" i="14"/>
  <c r="CP31" i="14"/>
  <c r="CP27" i="14"/>
  <c r="CP26" i="14"/>
  <c r="CP25" i="14"/>
  <c r="CP24" i="14"/>
  <c r="CP23" i="14"/>
  <c r="CO20" i="14"/>
  <c r="CP17" i="14"/>
  <c r="CP16" i="14"/>
  <c r="CP15" i="14"/>
  <c r="CP12" i="14"/>
  <c r="CP11" i="14"/>
  <c r="CP9" i="14"/>
  <c r="CP8" i="14"/>
  <c r="CP7" i="14"/>
  <c r="BK7" i="1"/>
  <c r="BK15" i="1"/>
  <c r="S100" i="9"/>
  <c r="S97" i="9"/>
  <c r="S96" i="9"/>
  <c r="S95" i="9"/>
  <c r="S94" i="9"/>
  <c r="S15" i="1"/>
  <c r="S13" i="1"/>
  <c r="CO37" i="14" l="1"/>
  <c r="CP36" i="14"/>
  <c r="CP20" i="14"/>
  <c r="CN37" i="14"/>
  <c r="BK13" i="1"/>
  <c r="CP37" i="14" l="1"/>
  <c r="AU15" i="1" l="1"/>
  <c r="AU13" i="1"/>
  <c r="AU7" i="1"/>
  <c r="AO7" i="1"/>
  <c r="U15" i="1"/>
  <c r="U13" i="1"/>
  <c r="T7" i="1"/>
  <c r="Q15" i="1"/>
  <c r="Q13" i="1"/>
  <c r="Q7" i="1"/>
  <c r="BT36" i="14"/>
  <c r="BS36" i="14"/>
  <c r="BU35" i="14"/>
  <c r="BU34" i="14"/>
  <c r="BU32" i="14"/>
  <c r="BU31" i="14"/>
  <c r="BU30" i="14"/>
  <c r="BU28" i="14"/>
  <c r="BU27" i="14"/>
  <c r="BU26" i="14"/>
  <c r="BU25" i="14"/>
  <c r="BU24" i="14"/>
  <c r="BU23" i="14"/>
  <c r="BU22" i="14"/>
  <c r="BT20" i="14"/>
  <c r="BU19" i="14"/>
  <c r="BU18" i="14"/>
  <c r="BU17" i="14"/>
  <c r="BU16" i="14"/>
  <c r="BU15" i="14"/>
  <c r="BU14" i="14"/>
  <c r="BU12" i="14"/>
  <c r="BU11" i="14"/>
  <c r="BU10" i="14"/>
  <c r="BU9" i="14"/>
  <c r="BU8" i="14"/>
  <c r="BU7" i="14"/>
  <c r="BU6" i="14"/>
  <c r="AW100" i="10"/>
  <c r="AV100" i="10"/>
  <c r="AW99" i="10"/>
  <c r="AV99" i="10"/>
  <c r="AW98" i="10"/>
  <c r="AV98" i="10"/>
  <c r="AW97" i="10"/>
  <c r="AV97" i="10"/>
  <c r="AW96" i="10"/>
  <c r="AV96" i="10"/>
  <c r="AW95" i="10"/>
  <c r="AV95" i="10"/>
  <c r="AW94" i="10"/>
  <c r="AV94" i="10"/>
  <c r="AW15" i="1"/>
  <c r="AW13" i="1"/>
  <c r="AW7" i="1"/>
  <c r="U7" i="1" l="1"/>
  <c r="BU20" i="14"/>
  <c r="BU36" i="14"/>
  <c r="AO13" i="1"/>
  <c r="AO15" i="1"/>
  <c r="BT37" i="14"/>
  <c r="BS37" i="14"/>
  <c r="DU15" i="6"/>
  <c r="DT15" i="6"/>
  <c r="DS15" i="6"/>
  <c r="DR15" i="6"/>
  <c r="DQ15" i="6"/>
  <c r="DO15" i="6"/>
  <c r="DN15" i="6"/>
  <c r="DM15" i="6"/>
  <c r="DL15" i="6"/>
  <c r="DK15" i="6"/>
  <c r="DJ15" i="6"/>
  <c r="DI15" i="6"/>
  <c r="DH15" i="6"/>
  <c r="DG15" i="6"/>
  <c r="DF15" i="6"/>
  <c r="DA15" i="6"/>
  <c r="CZ15" i="6"/>
  <c r="CY15" i="6"/>
  <c r="CX15" i="6"/>
  <c r="DU12" i="6"/>
  <c r="DT12" i="6"/>
  <c r="DS12" i="6"/>
  <c r="DR12" i="6"/>
  <c r="DQ12" i="6"/>
  <c r="DO12" i="6"/>
  <c r="DN12" i="6"/>
  <c r="DM12" i="6"/>
  <c r="DL12" i="6"/>
  <c r="DK12" i="6"/>
  <c r="DJ12" i="6"/>
  <c r="DI12" i="6"/>
  <c r="DH12" i="6"/>
  <c r="DG12" i="6"/>
  <c r="DF12" i="6"/>
  <c r="CZ12" i="6"/>
  <c r="CY12" i="6"/>
  <c r="CX12" i="6"/>
  <c r="BK100" i="11"/>
  <c r="BJ100" i="11"/>
  <c r="BI100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BK99" i="11"/>
  <c r="BJ99" i="11"/>
  <c r="BI99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AJ99" i="11"/>
  <c r="AI99" i="11"/>
  <c r="AH99" i="11"/>
  <c r="AG99" i="11"/>
  <c r="AF99" i="11"/>
  <c r="BK98" i="11"/>
  <c r="BJ98" i="11"/>
  <c r="BI98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AJ98" i="11"/>
  <c r="AI98" i="11"/>
  <c r="AH98" i="11"/>
  <c r="AG98" i="11"/>
  <c r="AF98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AG100" i="10"/>
  <c r="AF100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AI99" i="10"/>
  <c r="AH99" i="10"/>
  <c r="AG99" i="10"/>
  <c r="AF99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AG98" i="10"/>
  <c r="AF98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I97" i="10"/>
  <c r="AH97" i="10"/>
  <c r="AG97" i="10"/>
  <c r="AF97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AG96" i="10"/>
  <c r="AF96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G94" i="10"/>
  <c r="AF94" i="10"/>
  <c r="AF100" i="9"/>
  <c r="AF97" i="9"/>
  <c r="AF96" i="9"/>
  <c r="AF95" i="9"/>
  <c r="AF94" i="9"/>
  <c r="BK100" i="9"/>
  <c r="BJ100" i="9"/>
  <c r="BI100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AV100" i="9"/>
  <c r="AU100" i="9"/>
  <c r="AT100" i="9"/>
  <c r="AS100" i="9"/>
  <c r="AR100" i="9"/>
  <c r="AQ100" i="9"/>
  <c r="AP100" i="9"/>
  <c r="AO100" i="9"/>
  <c r="AN100" i="9"/>
  <c r="AM100" i="9"/>
  <c r="AL100" i="9"/>
  <c r="AK100" i="9"/>
  <c r="AJ100" i="9"/>
  <c r="AI100" i="9"/>
  <c r="AH100" i="9"/>
  <c r="AG100" i="9"/>
  <c r="BK97" i="9"/>
  <c r="BJ97" i="9"/>
  <c r="BI97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AV97" i="9"/>
  <c r="AU97" i="9"/>
  <c r="AT97" i="9"/>
  <c r="AS97" i="9"/>
  <c r="AR97" i="9"/>
  <c r="AQ97" i="9"/>
  <c r="AP97" i="9"/>
  <c r="AO97" i="9"/>
  <c r="AN97" i="9"/>
  <c r="AM97" i="9"/>
  <c r="AL97" i="9"/>
  <c r="AK97" i="9"/>
  <c r="AJ97" i="9"/>
  <c r="AI97" i="9"/>
  <c r="AH97" i="9"/>
  <c r="AG97" i="9"/>
  <c r="BK96" i="9"/>
  <c r="BJ96" i="9"/>
  <c r="BI96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AP96" i="9"/>
  <c r="AO96" i="9"/>
  <c r="AN96" i="9"/>
  <c r="AM96" i="9"/>
  <c r="AL96" i="9"/>
  <c r="AK96" i="9"/>
  <c r="AJ96" i="9"/>
  <c r="AI96" i="9"/>
  <c r="AH96" i="9"/>
  <c r="AG96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I95" i="9"/>
  <c r="AH95" i="9"/>
  <c r="AG95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H94" i="9"/>
  <c r="AG94" i="9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M23" i="7"/>
  <c r="AM25" i="7" s="1"/>
  <c r="AL23" i="7"/>
  <c r="AL25" i="7" s="1"/>
  <c r="AI23" i="7"/>
  <c r="AI25" i="7" s="1"/>
  <c r="AH23" i="7"/>
  <c r="AH25" i="7" s="1"/>
  <c r="AG23" i="7"/>
  <c r="AG25" i="7" s="1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I21" i="7"/>
  <c r="AH21" i="7"/>
  <c r="AG21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I15" i="7"/>
  <c r="AH15" i="7"/>
  <c r="AG15" i="7"/>
  <c r="BE15" i="1"/>
  <c r="BE13" i="1"/>
  <c r="BE7" i="1"/>
  <c r="K15" i="1"/>
  <c r="K13" i="1"/>
  <c r="K7" i="1"/>
  <c r="BU37" i="14" l="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B98" i="11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E96" i="9"/>
  <c r="AD96" i="9"/>
  <c r="AC96" i="9"/>
  <c r="AB96" i="9"/>
  <c r="AA96" i="9"/>
  <c r="Z96" i="9"/>
  <c r="Y96" i="9"/>
  <c r="X96" i="9"/>
  <c r="W96" i="9"/>
  <c r="V96" i="9"/>
  <c r="U96" i="9"/>
  <c r="T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AE95" i="9"/>
  <c r="AD95" i="9"/>
  <c r="AC95" i="9"/>
  <c r="AB95" i="9"/>
  <c r="AA95" i="9"/>
  <c r="Z95" i="9"/>
  <c r="Y95" i="9"/>
  <c r="X95" i="9"/>
  <c r="W95" i="9"/>
  <c r="V95" i="9"/>
  <c r="U95" i="9"/>
  <c r="T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BM98" i="11" l="1"/>
  <c r="BM99" i="11"/>
  <c r="BL98" i="11"/>
  <c r="BL99" i="11"/>
  <c r="BM96" i="9"/>
  <c r="BM95" i="9"/>
  <c r="BL95" i="9"/>
  <c r="BL96" i="9"/>
  <c r="BM98" i="10"/>
  <c r="BL97" i="10"/>
  <c r="BM97" i="10"/>
  <c r="BM96" i="10"/>
  <c r="BM95" i="10"/>
  <c r="BM99" i="10"/>
  <c r="BL96" i="10"/>
  <c r="BL95" i="10"/>
  <c r="BL99" i="10"/>
  <c r="BL98" i="10"/>
  <c r="BC16" i="14"/>
  <c r="BC15" i="14"/>
  <c r="BC14" i="14"/>
  <c r="BC12" i="14"/>
  <c r="BC11" i="14"/>
  <c r="BC10" i="14"/>
  <c r="BC9" i="14"/>
  <c r="AG4" i="16" l="1"/>
  <c r="AG5" i="16"/>
  <c r="AG6" i="16"/>
  <c r="AG7" i="16"/>
  <c r="AG8" i="16"/>
  <c r="AG9" i="16"/>
  <c r="AG10" i="16"/>
  <c r="AG12" i="16"/>
  <c r="AG13" i="16"/>
  <c r="AG14" i="16"/>
  <c r="AC15" i="16"/>
  <c r="AD15" i="16"/>
  <c r="AE15" i="16"/>
  <c r="AF15" i="16"/>
  <c r="AG16" i="16"/>
  <c r="AG17" i="16"/>
  <c r="AG18" i="16"/>
  <c r="AC19" i="16"/>
  <c r="AD19" i="16"/>
  <c r="AE19" i="16"/>
  <c r="AF19" i="16"/>
  <c r="CK36" i="14"/>
  <c r="CI36" i="14"/>
  <c r="CH36" i="14"/>
  <c r="CF36" i="14"/>
  <c r="CE36" i="14"/>
  <c r="BZ36" i="14"/>
  <c r="BZ37" i="14" s="1"/>
  <c r="BY36" i="14"/>
  <c r="BW36" i="14"/>
  <c r="BV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M36" i="14"/>
  <c r="AL36" i="14"/>
  <c r="AJ36" i="14"/>
  <c r="AI36" i="14"/>
  <c r="AG36" i="14"/>
  <c r="AF36" i="14"/>
  <c r="AA36" i="14"/>
  <c r="Z36" i="14"/>
  <c r="W36" i="14"/>
  <c r="U36" i="14"/>
  <c r="T36" i="14"/>
  <c r="R36" i="14"/>
  <c r="Q36" i="14"/>
  <c r="L36" i="14"/>
  <c r="K36" i="14"/>
  <c r="I36" i="14"/>
  <c r="H36" i="14"/>
  <c r="E36" i="14"/>
  <c r="C36" i="14"/>
  <c r="B36" i="14"/>
  <c r="CM35" i="14"/>
  <c r="CG35" i="14"/>
  <c r="CD35" i="14"/>
  <c r="CA35" i="14"/>
  <c r="BR35" i="14"/>
  <c r="BQ36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N36" i="14"/>
  <c r="M35" i="14"/>
  <c r="J35" i="14"/>
  <c r="G35" i="14"/>
  <c r="D35" i="14"/>
  <c r="CM34" i="14"/>
  <c r="CG34" i="14"/>
  <c r="CD34" i="14"/>
  <c r="CA34" i="14"/>
  <c r="BR34" i="14"/>
  <c r="BO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M32" i="14"/>
  <c r="CG32" i="14"/>
  <c r="CD32" i="14"/>
  <c r="CA32" i="14"/>
  <c r="BX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X36" i="14"/>
  <c r="CM31" i="14"/>
  <c r="CG31" i="14"/>
  <c r="CD31" i="14"/>
  <c r="CA31" i="14"/>
  <c r="BX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AP36" i="14"/>
  <c r="AO36" i="14"/>
  <c r="CM30" i="14"/>
  <c r="CG30" i="14"/>
  <c r="CD30" i="14"/>
  <c r="CA30" i="14"/>
  <c r="BR30" i="14"/>
  <c r="BO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G30" i="14"/>
  <c r="D30" i="14"/>
  <c r="CM28" i="14"/>
  <c r="CG28" i="14"/>
  <c r="CD28" i="14"/>
  <c r="CA28" i="14"/>
  <c r="BR28" i="14"/>
  <c r="BO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M27" i="14"/>
  <c r="CG27" i="14"/>
  <c r="CD27" i="14"/>
  <c r="CA27" i="14"/>
  <c r="BX27" i="14"/>
  <c r="BR27" i="14"/>
  <c r="BO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M26" i="14"/>
  <c r="CG26" i="14"/>
  <c r="CD26" i="14"/>
  <c r="CA26" i="14"/>
  <c r="BX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M25" i="14"/>
  <c r="CG25" i="14"/>
  <c r="CD25" i="14"/>
  <c r="CA25" i="14"/>
  <c r="BX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M24" i="14"/>
  <c r="CG24" i="14"/>
  <c r="CD24" i="14"/>
  <c r="CA24" i="14"/>
  <c r="BX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L36" i="14"/>
  <c r="CG23" i="14"/>
  <c r="CD23" i="14"/>
  <c r="CA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G22" i="14"/>
  <c r="CD22" i="14"/>
  <c r="CA22" i="14"/>
  <c r="BR22" i="14"/>
  <c r="BO22" i="14"/>
  <c r="BI22" i="14"/>
  <c r="BF22" i="14"/>
  <c r="BC22" i="14"/>
  <c r="AZ22" i="14"/>
  <c r="AW22" i="14"/>
  <c r="AT22" i="14"/>
  <c r="AQ22" i="14"/>
  <c r="AN22" i="14"/>
  <c r="AK22" i="14"/>
  <c r="AH22" i="14"/>
  <c r="AE22" i="14"/>
  <c r="AD36" i="14"/>
  <c r="AC36" i="14"/>
  <c r="AB22" i="14"/>
  <c r="Y22" i="14"/>
  <c r="V22" i="14"/>
  <c r="S22" i="14"/>
  <c r="P22" i="14"/>
  <c r="M22" i="14"/>
  <c r="G22" i="14"/>
  <c r="D22" i="14"/>
  <c r="CL20" i="14"/>
  <c r="CI20" i="14"/>
  <c r="CH20" i="14"/>
  <c r="CF20" i="14"/>
  <c r="CE20" i="14"/>
  <c r="BY20" i="14"/>
  <c r="BW20" i="14"/>
  <c r="BV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S20" i="14"/>
  <c r="AR20" i="14"/>
  <c r="AM20" i="14"/>
  <c r="AL20" i="14"/>
  <c r="AG20" i="14"/>
  <c r="AF20" i="14"/>
  <c r="AA20" i="14"/>
  <c r="Z20" i="14"/>
  <c r="X20" i="14"/>
  <c r="W20" i="14"/>
  <c r="U20" i="14"/>
  <c r="T20" i="14"/>
  <c r="L20" i="14"/>
  <c r="K20" i="14"/>
  <c r="I20" i="14"/>
  <c r="H20" i="14"/>
  <c r="E20" i="14"/>
  <c r="C20" i="14"/>
  <c r="B20" i="14"/>
  <c r="CM19" i="14"/>
  <c r="CG19" i="14"/>
  <c r="CD19" i="14"/>
  <c r="CA19" i="14"/>
  <c r="BR19" i="14"/>
  <c r="BP20" i="14"/>
  <c r="BO19" i="14"/>
  <c r="BL19" i="14"/>
  <c r="BI19" i="14"/>
  <c r="BF19" i="14"/>
  <c r="BC19" i="14"/>
  <c r="AZ19" i="14"/>
  <c r="AW19" i="14"/>
  <c r="AT19" i="14"/>
  <c r="AQ19" i="14"/>
  <c r="AN19" i="14"/>
  <c r="AJ20" i="14"/>
  <c r="AI20" i="14"/>
  <c r="AH19" i="14"/>
  <c r="AE19" i="14"/>
  <c r="AB19" i="14"/>
  <c r="Y19" i="14"/>
  <c r="V19" i="14"/>
  <c r="S19" i="14"/>
  <c r="Q20" i="14"/>
  <c r="O20" i="14"/>
  <c r="N20" i="14"/>
  <c r="M19" i="14"/>
  <c r="G19" i="14"/>
  <c r="D19" i="14"/>
  <c r="CM18" i="14"/>
  <c r="CG18" i="14"/>
  <c r="CD18" i="14"/>
  <c r="CB20" i="14"/>
  <c r="CB37" i="14" s="1"/>
  <c r="CA18" i="14"/>
  <c r="BR18" i="14"/>
  <c r="BO18" i="14"/>
  <c r="BI18" i="14"/>
  <c r="BF18" i="14"/>
  <c r="BC18" i="14"/>
  <c r="AZ18" i="14"/>
  <c r="AW18" i="14"/>
  <c r="AT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M17" i="14"/>
  <c r="CG17" i="14"/>
  <c r="CD17" i="14"/>
  <c r="CA17" i="14"/>
  <c r="BX17" i="14"/>
  <c r="BR17" i="14"/>
  <c r="BO17" i="14"/>
  <c r="BL17" i="14"/>
  <c r="BI17" i="14"/>
  <c r="BF17" i="14"/>
  <c r="BC17" i="14"/>
  <c r="AZ17" i="14"/>
  <c r="AW17" i="14"/>
  <c r="AT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M16" i="14"/>
  <c r="CG16" i="14"/>
  <c r="CD16" i="14"/>
  <c r="CA16" i="14"/>
  <c r="BX16" i="14"/>
  <c r="BR16" i="14"/>
  <c r="BO16" i="14"/>
  <c r="BI16" i="14"/>
  <c r="BF16" i="14"/>
  <c r="AZ16" i="14"/>
  <c r="AW16" i="14"/>
  <c r="AT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AP20" i="14"/>
  <c r="AO20" i="14"/>
  <c r="CM15" i="14"/>
  <c r="CG15" i="14"/>
  <c r="CD15" i="14"/>
  <c r="CA15" i="14"/>
  <c r="BX15" i="14"/>
  <c r="BR15" i="14"/>
  <c r="BO15" i="14"/>
  <c r="BI15" i="14"/>
  <c r="BF15" i="14"/>
  <c r="AZ15" i="14"/>
  <c r="AW15" i="14"/>
  <c r="AT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M14" i="14"/>
  <c r="CG14" i="14"/>
  <c r="CD14" i="14"/>
  <c r="CA14" i="14"/>
  <c r="BR14" i="14"/>
  <c r="BO14" i="14"/>
  <c r="BI14" i="14"/>
  <c r="BF14" i="14"/>
  <c r="AZ14" i="14"/>
  <c r="AW14" i="14"/>
  <c r="AT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M12" i="14"/>
  <c r="CG12" i="14"/>
  <c r="CD12" i="14"/>
  <c r="CA12" i="14"/>
  <c r="BX12" i="14"/>
  <c r="BR12" i="14"/>
  <c r="BO12" i="14"/>
  <c r="BL12" i="14"/>
  <c r="BI12" i="14"/>
  <c r="BF12" i="14"/>
  <c r="AZ12" i="14"/>
  <c r="AW12" i="14"/>
  <c r="AT12" i="14"/>
  <c r="AN12" i="14"/>
  <c r="AK12" i="14"/>
  <c r="AH12" i="14"/>
  <c r="AE12" i="14"/>
  <c r="AB12" i="14"/>
  <c r="Y12" i="14"/>
  <c r="V12" i="14"/>
  <c r="S12" i="14"/>
  <c r="P12" i="14"/>
  <c r="M12" i="14"/>
  <c r="J12" i="14"/>
  <c r="D12" i="14"/>
  <c r="CM11" i="14"/>
  <c r="CG11" i="14"/>
  <c r="CD11" i="14"/>
  <c r="CA11" i="14"/>
  <c r="BX11" i="14"/>
  <c r="BR11" i="14"/>
  <c r="BO11" i="14"/>
  <c r="BI11" i="14"/>
  <c r="BF11" i="14"/>
  <c r="AZ11" i="14"/>
  <c r="AW11" i="14"/>
  <c r="AT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G10" i="14"/>
  <c r="CD10" i="14"/>
  <c r="CA10" i="14"/>
  <c r="BR10" i="14"/>
  <c r="BO10" i="14"/>
  <c r="BI10" i="14"/>
  <c r="BF10" i="14"/>
  <c r="AZ10" i="14"/>
  <c r="AW10" i="14"/>
  <c r="AT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M9" i="14"/>
  <c r="CJ9" i="14"/>
  <c r="CG9" i="14"/>
  <c r="CD9" i="14"/>
  <c r="CA9" i="14"/>
  <c r="BX9" i="14"/>
  <c r="BR9" i="14"/>
  <c r="BO9" i="14"/>
  <c r="BL9" i="14"/>
  <c r="BI9" i="14"/>
  <c r="BF9" i="14"/>
  <c r="AZ9" i="14"/>
  <c r="AW9" i="14"/>
  <c r="AT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M8" i="14"/>
  <c r="CJ8" i="14"/>
  <c r="CG8" i="14"/>
  <c r="CD8" i="14"/>
  <c r="CA8" i="14"/>
  <c r="BX8" i="14"/>
  <c r="BR8" i="14"/>
  <c r="BO8" i="14"/>
  <c r="BL8" i="14"/>
  <c r="BI8" i="14"/>
  <c r="BF8" i="14"/>
  <c r="BC8" i="14"/>
  <c r="AZ8" i="14"/>
  <c r="AW8" i="14"/>
  <c r="AT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M7" i="14"/>
  <c r="CG7" i="14"/>
  <c r="CD7" i="14"/>
  <c r="CA7" i="14"/>
  <c r="BR7" i="14"/>
  <c r="BO7" i="14"/>
  <c r="BI7" i="14"/>
  <c r="BF7" i="14"/>
  <c r="AZ7" i="14"/>
  <c r="AW7" i="14"/>
  <c r="AT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G6" i="14"/>
  <c r="CD6" i="14"/>
  <c r="CA6" i="14"/>
  <c r="BR6" i="14"/>
  <c r="BO6" i="14"/>
  <c r="BI6" i="14"/>
  <c r="BF6" i="14"/>
  <c r="AZ6" i="14"/>
  <c r="AW6" i="14"/>
  <c r="AT6" i="14"/>
  <c r="AN6" i="14"/>
  <c r="AK6" i="14"/>
  <c r="AH6" i="14"/>
  <c r="AD20" i="14"/>
  <c r="AC20" i="14"/>
  <c r="AB6" i="14"/>
  <c r="Y6" i="14"/>
  <c r="V6" i="14"/>
  <c r="S6" i="14"/>
  <c r="P6" i="14"/>
  <c r="M6" i="14"/>
  <c r="G6" i="14"/>
  <c r="D6" i="14"/>
  <c r="BY37" i="14" l="1"/>
  <c r="BX36" i="14"/>
  <c r="BL36" i="14"/>
  <c r="BL20" i="14"/>
  <c r="I37" i="14"/>
  <c r="V36" i="14"/>
  <c r="AI37" i="14"/>
  <c r="AY37" i="14"/>
  <c r="BC20" i="14"/>
  <c r="J36" i="14"/>
  <c r="AT36" i="14"/>
  <c r="BF20" i="14"/>
  <c r="B37" i="14"/>
  <c r="AR37" i="14"/>
  <c r="BD37" i="14"/>
  <c r="V20" i="14"/>
  <c r="BX20" i="14"/>
  <c r="BF36" i="14"/>
  <c r="AT20" i="14"/>
  <c r="J20" i="14"/>
  <c r="BG37" i="14"/>
  <c r="AC37" i="14"/>
  <c r="C37" i="14"/>
  <c r="AS37" i="14"/>
  <c r="BE37" i="14"/>
  <c r="BV37" i="14"/>
  <c r="AF37" i="14"/>
  <c r="BW37" i="14"/>
  <c r="H37" i="14"/>
  <c r="T37" i="14"/>
  <c r="U37" i="14"/>
  <c r="BJ37" i="14"/>
  <c r="BK37" i="14"/>
  <c r="P36" i="14"/>
  <c r="D36" i="14"/>
  <c r="D20" i="14"/>
  <c r="E37" i="14"/>
  <c r="K37" i="14"/>
  <c r="L37" i="14"/>
  <c r="M20" i="14"/>
  <c r="M36" i="14"/>
  <c r="S36" i="14"/>
  <c r="Q37" i="14"/>
  <c r="S20" i="14"/>
  <c r="Y20" i="14"/>
  <c r="X37" i="14"/>
  <c r="W37" i="14"/>
  <c r="AH36" i="14"/>
  <c r="AE36" i="14"/>
  <c r="AG37" i="14"/>
  <c r="AH20" i="14"/>
  <c r="AN20" i="14"/>
  <c r="AL37" i="14"/>
  <c r="AM37" i="14"/>
  <c r="AK36" i="14"/>
  <c r="AN36" i="14"/>
  <c r="BC36" i="14"/>
  <c r="AZ36" i="14"/>
  <c r="AW36" i="14"/>
  <c r="AU37" i="14"/>
  <c r="AV37" i="14"/>
  <c r="AW20" i="14"/>
  <c r="AX37" i="14"/>
  <c r="AZ20" i="14"/>
  <c r="BA37" i="14"/>
  <c r="BB37" i="14"/>
  <c r="BI20" i="14"/>
  <c r="BH37" i="14"/>
  <c r="BO20" i="14"/>
  <c r="BM37" i="14"/>
  <c r="BN37" i="14"/>
  <c r="BI36" i="14"/>
  <c r="BO36" i="14"/>
  <c r="CA36" i="14"/>
  <c r="BR36" i="14"/>
  <c r="BR20" i="14"/>
  <c r="CA20" i="14"/>
  <c r="CD20" i="14"/>
  <c r="CG20" i="14"/>
  <c r="CE37" i="14"/>
  <c r="CG36" i="14"/>
  <c r="CF37" i="14"/>
  <c r="CI37" i="14"/>
  <c r="CJ20" i="14"/>
  <c r="CJ36" i="14"/>
  <c r="CH37" i="14"/>
  <c r="CM36" i="14"/>
  <c r="CL37" i="14"/>
  <c r="CM20" i="14"/>
  <c r="AA37" i="14"/>
  <c r="AB36" i="14"/>
  <c r="AB20" i="14"/>
  <c r="Z37" i="14"/>
  <c r="AG19" i="16"/>
  <c r="AG11" i="16"/>
  <c r="AG15" i="16"/>
  <c r="AP37" i="14"/>
  <c r="BP37" i="14"/>
  <c r="AD37" i="14"/>
  <c r="N37" i="14"/>
  <c r="CD36" i="14"/>
  <c r="AO37" i="14"/>
  <c r="F37" i="14"/>
  <c r="AJ37" i="14"/>
  <c r="AK19" i="14"/>
  <c r="AK20" i="14" s="1"/>
  <c r="BQ20" i="14"/>
  <c r="BQ37" i="14" s="1"/>
  <c r="AE6" i="14"/>
  <c r="AE20" i="14" s="1"/>
  <c r="CC20" i="14"/>
  <c r="CC37" i="14" s="1"/>
  <c r="CK20" i="14"/>
  <c r="CK37" i="14" s="1"/>
  <c r="Y36" i="14"/>
  <c r="R20" i="14"/>
  <c r="R37" i="14" s="1"/>
  <c r="O36" i="14"/>
  <c r="O37" i="14" s="1"/>
  <c r="G18" i="14"/>
  <c r="G20" i="14" s="1"/>
  <c r="AQ20" i="14"/>
  <c r="P19" i="14"/>
  <c r="P20" i="14" s="1"/>
  <c r="AQ36" i="14"/>
  <c r="G34" i="14"/>
  <c r="G36" i="14" s="1"/>
  <c r="BX37" i="14" l="1"/>
  <c r="BF37" i="14"/>
  <c r="BL37" i="14"/>
  <c r="J37" i="14"/>
  <c r="V37" i="14"/>
  <c r="AT37" i="14"/>
  <c r="CD37" i="14"/>
  <c r="M37" i="14"/>
  <c r="S37" i="14"/>
  <c r="BC37" i="14"/>
  <c r="AK37" i="14"/>
  <c r="AZ37" i="14"/>
  <c r="D37" i="14"/>
  <c r="BR37" i="14"/>
  <c r="AE37" i="14"/>
  <c r="Y37" i="14"/>
  <c r="AW37" i="14"/>
  <c r="CG37" i="14"/>
  <c r="P37" i="14"/>
  <c r="G37" i="14"/>
  <c r="AH37" i="14"/>
  <c r="AN37" i="14"/>
  <c r="AQ37" i="14"/>
  <c r="BI37" i="14"/>
  <c r="BO37" i="14"/>
  <c r="CA37" i="14"/>
  <c r="CJ37" i="14"/>
  <c r="CM37" i="14"/>
  <c r="AB37" i="14"/>
  <c r="AE23" i="7" l="1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K25" i="7" s="1"/>
  <c r="J23" i="7"/>
  <c r="J25" i="7" s="1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G30" i="8"/>
  <c r="AG29" i="8"/>
  <c r="AG28" i="8"/>
  <c r="AG25" i="8"/>
  <c r="AG24" i="8"/>
  <c r="AG22" i="8"/>
  <c r="AG21" i="8"/>
  <c r="AG19" i="8"/>
  <c r="AG18" i="8"/>
  <c r="AG17" i="8"/>
  <c r="AG15" i="8"/>
  <c r="AG14" i="8"/>
  <c r="AG10" i="8"/>
  <c r="AG9" i="8"/>
  <c r="AG6" i="8"/>
  <c r="AG5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26" i="8"/>
  <c r="B23" i="8"/>
  <c r="B11" i="8"/>
  <c r="AE100" i="9"/>
  <c r="AD100" i="9"/>
  <c r="AC100" i="9"/>
  <c r="AB100" i="9"/>
  <c r="AA100" i="9"/>
  <c r="Z100" i="9"/>
  <c r="Y100" i="9"/>
  <c r="X100" i="9"/>
  <c r="W100" i="9"/>
  <c r="V100" i="9"/>
  <c r="U100" i="9"/>
  <c r="T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E97" i="9"/>
  <c r="AD97" i="9"/>
  <c r="AC97" i="9"/>
  <c r="AB97" i="9"/>
  <c r="AA97" i="9"/>
  <c r="Z97" i="9"/>
  <c r="Y97" i="9"/>
  <c r="X97" i="9"/>
  <c r="W97" i="9"/>
  <c r="V97" i="9"/>
  <c r="U97" i="9"/>
  <c r="T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AE94" i="9"/>
  <c r="AD94" i="9"/>
  <c r="AC94" i="9"/>
  <c r="AB94" i="9"/>
  <c r="AA94" i="9"/>
  <c r="Z94" i="9"/>
  <c r="Y94" i="9"/>
  <c r="X94" i="9"/>
  <c r="W94" i="9"/>
  <c r="V94" i="9"/>
  <c r="U94" i="9"/>
  <c r="T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100" i="9"/>
  <c r="B97" i="9"/>
  <c r="B94" i="9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B100" i="11"/>
  <c r="B94" i="11"/>
  <c r="BM94" i="11" l="1"/>
  <c r="BM97" i="9"/>
  <c r="BL94" i="11"/>
  <c r="BL97" i="9"/>
  <c r="BM100" i="11"/>
  <c r="BL100" i="11"/>
  <c r="BL100" i="9"/>
  <c r="BM100" i="9"/>
  <c r="BM94" i="9"/>
  <c r="BL94" i="9"/>
  <c r="BL100" i="10"/>
  <c r="BM94" i="10"/>
  <c r="BM100" i="10"/>
  <c r="BL94" i="10"/>
  <c r="H27" i="8"/>
  <c r="T27" i="8"/>
  <c r="D27" i="8"/>
  <c r="AF27" i="8"/>
  <c r="B25" i="7"/>
  <c r="C25" i="7"/>
  <c r="B27" i="8"/>
  <c r="AE27" i="8"/>
  <c r="O27" i="8"/>
  <c r="R27" i="8"/>
  <c r="F27" i="8"/>
  <c r="M27" i="8"/>
  <c r="C27" i="8"/>
  <c r="J27" i="8"/>
  <c r="Q27" i="8"/>
  <c r="V27" i="8"/>
  <c r="AC27" i="8"/>
  <c r="Y27" i="8"/>
  <c r="X27" i="8"/>
  <c r="U27" i="8"/>
  <c r="S27" i="8"/>
  <c r="G27" i="8"/>
  <c r="E27" i="8"/>
  <c r="AD27" i="8"/>
  <c r="AB27" i="8"/>
  <c r="AA27" i="8"/>
  <c r="Z27" i="8"/>
  <c r="W27" i="8"/>
  <c r="P27" i="8"/>
  <c r="N27" i="8"/>
  <c r="L27" i="8"/>
  <c r="K27" i="8"/>
  <c r="I27" i="8"/>
  <c r="AG16" i="8"/>
  <c r="AG26" i="8"/>
  <c r="AG23" i="8"/>
  <c r="AG27" i="8" l="1"/>
  <c r="AG13" i="18"/>
  <c r="AG12" i="18"/>
  <c r="AG11" i="18"/>
  <c r="AG10" i="18"/>
  <c r="AG9" i="18"/>
  <c r="AG8" i="18"/>
  <c r="AG7" i="18"/>
  <c r="AG6" i="18"/>
  <c r="AG5" i="18"/>
  <c r="AG4" i="18"/>
  <c r="AG14" i="17"/>
  <c r="AG13" i="17"/>
  <c r="AG12" i="17"/>
  <c r="AG11" i="17"/>
  <c r="AG10" i="17"/>
  <c r="AG9" i="17"/>
  <c r="AG8" i="17"/>
  <c r="AG7" i="17"/>
  <c r="AG6" i="17"/>
  <c r="AG5" i="17"/>
  <c r="AG4" i="17"/>
  <c r="AF15" i="17"/>
  <c r="AE15" i="17"/>
  <c r="AD15" i="17"/>
  <c r="AC15" i="17"/>
  <c r="AG31" i="15"/>
  <c r="AG30" i="15"/>
  <c r="AG27" i="15"/>
  <c r="AG26" i="15"/>
  <c r="AG25" i="15"/>
  <c r="AG24" i="15"/>
  <c r="AG23" i="15"/>
  <c r="AG22" i="15"/>
  <c r="AG21" i="15"/>
  <c r="AG18" i="15"/>
  <c r="AG17" i="15"/>
  <c r="AG16" i="15"/>
  <c r="AG15" i="15"/>
  <c r="AG14" i="15"/>
  <c r="AG11" i="15"/>
  <c r="AG10" i="15"/>
  <c r="AG9" i="15"/>
  <c r="AG8" i="15"/>
  <c r="AG7" i="15"/>
  <c r="AG6" i="15"/>
  <c r="AG5" i="15"/>
  <c r="AF32" i="15"/>
  <c r="AE32" i="15"/>
  <c r="AD32" i="15"/>
  <c r="AC32" i="15"/>
  <c r="AF28" i="15"/>
  <c r="AE28" i="15"/>
  <c r="AD28" i="15"/>
  <c r="AC28" i="15"/>
  <c r="AF19" i="15"/>
  <c r="AE19" i="15"/>
  <c r="AD19" i="15"/>
  <c r="AC19" i="15"/>
  <c r="AF12" i="15"/>
  <c r="AE12" i="15"/>
  <c r="AD12" i="15"/>
  <c r="AC12" i="15"/>
  <c r="AG10" i="13"/>
  <c r="AG8" i="13"/>
  <c r="AG7" i="13"/>
  <c r="AG6" i="13"/>
  <c r="AG5" i="13"/>
  <c r="AG4" i="13"/>
  <c r="AF9" i="13"/>
  <c r="AE9" i="13"/>
  <c r="AD9" i="13"/>
  <c r="AC9" i="13"/>
  <c r="AG32" i="15" l="1"/>
  <c r="AG19" i="15"/>
  <c r="AG28" i="15"/>
  <c r="AG12" i="15"/>
  <c r="AG15" i="17"/>
  <c r="BJ7" i="1"/>
  <c r="BH7" i="1"/>
  <c r="BD7" i="1"/>
  <c r="BB7" i="1"/>
  <c r="AZ7" i="1"/>
  <c r="AX7" i="1"/>
  <c r="AV7" i="1"/>
  <c r="AT7" i="1"/>
  <c r="AP7" i="1"/>
  <c r="AN7" i="1"/>
  <c r="AH7" i="1"/>
  <c r="AF7" i="1"/>
  <c r="AD7" i="1"/>
  <c r="AB7" i="1"/>
  <c r="Z7" i="1"/>
  <c r="X7" i="1"/>
  <c r="V7" i="1"/>
  <c r="R7" i="1"/>
  <c r="P7" i="1"/>
  <c r="N7" i="1"/>
  <c r="L7" i="1"/>
  <c r="J7" i="1"/>
  <c r="B7" i="1"/>
  <c r="BJ15" i="1" l="1"/>
  <c r="BH15" i="1"/>
  <c r="BD15" i="1"/>
  <c r="BB15" i="1"/>
  <c r="AZ15" i="1"/>
  <c r="AX15" i="1"/>
  <c r="AV15" i="1"/>
  <c r="AT15" i="1"/>
  <c r="AR15" i="1"/>
  <c r="AP15" i="1"/>
  <c r="AN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B15" i="1"/>
  <c r="BJ13" i="1"/>
  <c r="BH13" i="1"/>
  <c r="BD13" i="1"/>
  <c r="BB13" i="1"/>
  <c r="AZ13" i="1"/>
  <c r="AX13" i="1"/>
  <c r="AV13" i="1"/>
  <c r="AT13" i="1"/>
  <c r="AR13" i="1"/>
  <c r="AP13" i="1"/>
  <c r="AN13" i="1"/>
  <c r="AL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B13" i="1"/>
  <c r="AM7" i="1" l="1"/>
  <c r="AM15" i="1"/>
  <c r="AL7" i="1"/>
  <c r="AL15" i="1"/>
  <c r="AJ15" i="7" l="1"/>
  <c r="BL15" i="7" s="1"/>
  <c r="AK15" i="7"/>
  <c r="BM15" i="7" s="1"/>
  <c r="AJ21" i="7"/>
  <c r="BL21" i="7" s="1"/>
  <c r="AJ23" i="7"/>
  <c r="BL23" i="7" s="1"/>
  <c r="AK21" i="7"/>
  <c r="BM21" i="7" s="1"/>
  <c r="AK23" i="7"/>
  <c r="BM23" i="7" s="1"/>
  <c r="AK25" i="7" l="1"/>
  <c r="BM25" i="7" s="1"/>
  <c r="AJ25" i="7"/>
  <c r="BL25" i="7" s="1"/>
  <c r="AK7" i="1"/>
  <c r="BM7" i="1" s="1"/>
  <c r="AJ7" i="1"/>
  <c r="BL7" i="1" s="1"/>
  <c r="AK13" i="1"/>
  <c r="BM13" i="1" s="1"/>
  <c r="AK15" i="1"/>
  <c r="BM15" i="1" s="1"/>
  <c r="AJ13" i="1"/>
  <c r="BL13" i="1" s="1"/>
  <c r="AJ15" i="1"/>
  <c r="BL15" i="1" s="1"/>
  <c r="AG12" i="8"/>
  <c r="S11" i="8"/>
  <c r="AG11" i="8" s="1"/>
  <c r="AG11" i="13"/>
  <c r="AG9" i="13"/>
  <c r="AG15" i="18"/>
  <c r="AG14" i="18"/>
  <c r="DP15" i="6"/>
  <c r="DP12" i="6"/>
</calcChain>
</file>

<file path=xl/sharedStrings.xml><?xml version="1.0" encoding="utf-8"?>
<sst xmlns="http://schemas.openxmlformats.org/spreadsheetml/2006/main" count="5158" uniqueCount="328">
  <si>
    <t>Particulars</t>
  </si>
  <si>
    <t>Acko</t>
  </si>
  <si>
    <t>AICL</t>
  </si>
  <si>
    <t>Bajaj Allianz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</si>
  <si>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</si>
  <si>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</si>
  <si>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</si>
  <si>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</si>
  <si>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</si>
  <si>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</si>
  <si>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</si>
  <si>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</si>
  <si>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</si>
  <si>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</si>
  <si>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</si>
  <si>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</si>
  <si>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</si>
  <si>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</si>
  <si>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</si>
  <si>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</si>
  <si>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</si>
  <si>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</si>
  <si>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</si>
  <si>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</si>
  <si>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</si>
  <si>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</si>
  <si>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</si>
  <si>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</si>
  <si>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</si>
  <si>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</si>
  <si>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</si>
  <si>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</si>
  <si>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</si>
  <si>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</si>
  <si>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</si>
  <si>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</si>
  <si>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</si>
  <si>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</si>
  <si>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</si>
  <si>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</si>
  <si>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</si>
  <si>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</si>
  <si>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</si>
  <si>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</si>
  <si>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</si>
  <si>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</si>
  <si>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</si>
  <si>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</si>
  <si>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</si>
  <si>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</si>
  <si>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</si>
  <si>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</si>
  <si>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</si>
  <si>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</si>
  <si>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</si>
  <si>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</si>
  <si>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</si>
  <si>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</si>
  <si>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</si>
  <si>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</si>
  <si>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</si>
  <si>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</si>
  <si>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</si>
  <si>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</si>
  <si>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</si>
  <si>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</si>
  <si>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</si>
  <si>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</si>
  <si>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</si>
  <si>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</si>
  <si>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</si>
  <si>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</si>
  <si>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</si>
  <si>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</si>
  <si>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</si>
  <si>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</si>
  <si>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</si>
  <si>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</si>
  <si>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</si>
  <si>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</si>
  <si>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</si>
  <si>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</si>
  <si>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</si>
  <si>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</si>
  <si>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</si>
  <si>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</si>
  <si>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</si>
  <si>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</si>
  <si>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</si>
  <si>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</si>
  <si>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</si>
  <si>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</si>
  <si>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</si>
  <si>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</si>
  <si>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</si>
  <si>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</si>
  <si>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</si>
  <si>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</si>
  <si>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</si>
  <si>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</si>
  <si>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</si>
  <si>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</si>
  <si>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</si>
  <si>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</si>
  <si>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</si>
  <si>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</si>
  <si>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</si>
  <si>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</si>
  <si>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</si>
  <si>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</si>
  <si>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</si>
  <si>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</si>
  <si>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</si>
  <si>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</si>
  <si>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</si>
  <si>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</si>
  <si>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</si>
  <si>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</si>
  <si>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</si>
  <si>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</si>
  <si>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</si>
  <si>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</si>
  <si>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</si>
  <si>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Gross Premium Growth Rate</t>
  </si>
  <si>
    <t>Gross Direct Premium to Net Worth Ratio</t>
  </si>
  <si>
    <t>Growth Rate of Net Worth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</si>
  <si>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</si>
  <si>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</si>
  <si>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</si>
  <si>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</si>
  <si>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</si>
  <si>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</si>
  <si>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</si>
  <si>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</si>
  <si>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</si>
  <si>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</si>
  <si>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</si>
  <si>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</si>
  <si>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</si>
  <si>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Total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</si>
  <si>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</si>
  <si>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</si>
  <si>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</si>
  <si>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</si>
  <si>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</si>
  <si>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</si>
  <si>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</si>
  <si>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</si>
  <si>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</si>
  <si>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</si>
  <si>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</si>
  <si>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</si>
  <si>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</si>
  <si>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</si>
  <si>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</si>
  <si>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</si>
  <si>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</si>
  <si>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</si>
  <si>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</si>
  <si>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</si>
  <si>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</si>
  <si>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</si>
  <si>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(f) Subsidiaries</t>
  </si>
  <si>
    <t>(g) Investment properties - Real Estate</t>
  </si>
  <si>
    <t>Other than Approved Investments</t>
  </si>
  <si>
    <t>TOTAL LONG TERM INVESTMENTS</t>
  </si>
  <si>
    <t>SHORT TERM INVESTMENTS</t>
  </si>
  <si>
    <t>TOTAL SHORT TERM INVESTMENTS</t>
  </si>
  <si>
    <t>(e) Other securities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</si>
  <si>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</si>
  <si>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</si>
  <si>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</si>
  <si>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</si>
  <si>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</si>
  <si>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</si>
  <si>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</si>
  <si>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</si>
  <si>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</si>
  <si>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</si>
  <si>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</si>
  <si>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</si>
  <si>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</si>
  <si>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</si>
  <si>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</si>
  <si>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</si>
  <si>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</si>
  <si>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</si>
  <si>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</si>
  <si>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</si>
  <si>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</si>
  <si>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Net Commission</t>
  </si>
  <si>
    <t xml:space="preserve">NL-5 Claims 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</si>
  <si>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</si>
  <si>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</si>
  <si>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</si>
  <si>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</si>
  <si>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</si>
  <si>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</si>
  <si>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</si>
  <si>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</si>
  <si>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</si>
  <si>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</si>
  <si>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</si>
  <si>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</si>
  <si>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</si>
  <si>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</si>
  <si>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</si>
  <si>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</si>
  <si>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</si>
  <si>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</si>
  <si>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</si>
  <si>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</si>
  <si>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</si>
  <si>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</si>
  <si>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</si>
  <si>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</si>
  <si>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</si>
  <si>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</si>
  <si>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</si>
  <si>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</si>
  <si>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</si>
  <si>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</si>
  <si>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</si>
  <si>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</si>
  <si>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</si>
  <si>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</si>
  <si>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</si>
  <si>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</si>
  <si>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</si>
  <si>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</si>
  <si>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</si>
  <si>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</si>
  <si>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</si>
  <si>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 xml:space="preserve">NL-2 Profit and Loss Account </t>
  </si>
  <si>
    <t>Aditya Birla Health</t>
  </si>
  <si>
    <t>Cholamandalam MS</t>
  </si>
  <si>
    <t>Manipal Cigna Health</t>
  </si>
  <si>
    <t>Navi</t>
  </si>
  <si>
    <t>Raheja QBE</t>
  </si>
  <si>
    <t>The New India Assurance</t>
  </si>
  <si>
    <t>The Oriental</t>
  </si>
  <si>
    <t>Reliance</t>
  </si>
  <si>
    <t>Kotak</t>
  </si>
  <si>
    <t>Care Health</t>
  </si>
  <si>
    <t>CROP</t>
  </si>
  <si>
    <t>Niva Bupa Health</t>
  </si>
  <si>
    <t>Digit</t>
  </si>
  <si>
    <t>NL-20 Analytical Ratios</t>
  </si>
  <si>
    <t xml:space="preserve">NL-36 Business Acquisition Through Different Channels </t>
  </si>
  <si>
    <t>NL-44 Motor TP Obligations (Quarterly Returns)</t>
  </si>
  <si>
    <t>Gross Direct Motor Third Party Insurance Business</t>
  </si>
  <si>
    <t>Premium in respect of liability only policies (L)</t>
  </si>
  <si>
    <t>Premium in respect of package policies (P)</t>
  </si>
  <si>
    <t>Total Gross Direct Motor Third Party Insurance</t>
  </si>
  <si>
    <t>Business Premium (L+P)</t>
  </si>
  <si>
    <t>Total Gross Direct Motor Own damage Insurance Business Premium</t>
  </si>
  <si>
    <t>Total Gross Direct Premium Income</t>
  </si>
  <si>
    <t>Underwriting Result</t>
  </si>
  <si>
    <t>Underwriting Ratio</t>
  </si>
  <si>
    <t>Commission (Net)</t>
  </si>
  <si>
    <t>Total Operating Expenses</t>
  </si>
  <si>
    <t>Premium Deficiency</t>
  </si>
  <si>
    <t>Outside India</t>
  </si>
  <si>
    <t>Total A</t>
  </si>
  <si>
    <t>Within India</t>
  </si>
  <si>
    <t>Indian Insurance Companies</t>
  </si>
  <si>
    <t>FRBs</t>
  </si>
  <si>
    <t>GIC Re</t>
  </si>
  <si>
    <t>Total B</t>
  </si>
  <si>
    <t>Grand Total A+B</t>
  </si>
  <si>
    <r>
      <t xml:space="preserve">NL-33 Reinsurance/Retrocession Risk Concentration
</t>
    </r>
    <r>
      <rPr>
        <sz val="12"/>
        <rFont val="Calibri"/>
        <family val="2"/>
        <scheme val="minor"/>
      </rPr>
      <t xml:space="preserve">Rs. In Lakhs </t>
    </r>
  </si>
  <si>
    <t>Claims paid to claims provisions</t>
  </si>
  <si>
    <t>Investment income ratio</t>
  </si>
  <si>
    <t>Reserve for Unexpired Risk</t>
  </si>
  <si>
    <t>Reserve for Premium Deficiency</t>
  </si>
  <si>
    <t>For Employee Benefits</t>
  </si>
  <si>
    <t>Debentures/ Bonds</t>
  </si>
  <si>
    <t>Banks</t>
  </si>
  <si>
    <t>Financial Institutions</t>
  </si>
  <si>
    <t xml:space="preserve">Gross Direct Premium </t>
  </si>
  <si>
    <t>Add : Premium on reinsurance accepted</t>
  </si>
  <si>
    <t>Less : Premium on reinsurance ceded</t>
  </si>
  <si>
    <t>Net Written Premium</t>
  </si>
  <si>
    <t>Add : Opening balance of UPR</t>
  </si>
  <si>
    <t>Less : Closing balance of UPR</t>
  </si>
  <si>
    <t>Claims Paid (Direct)</t>
  </si>
  <si>
    <t>Add : Re-insurance accepted to direct claims</t>
  </si>
  <si>
    <t>Less : Re-insurance ceded to claims paid</t>
  </si>
  <si>
    <t>Net Claims Paid</t>
  </si>
  <si>
    <t>Add : Claims Outstanding at the end of the year</t>
  </si>
  <si>
    <t>Less : Claims Outstanding at the beginning of the year</t>
  </si>
  <si>
    <t>Net Incurred Claims</t>
  </si>
  <si>
    <t xml:space="preserve">Commission &amp; Remuneration </t>
  </si>
  <si>
    <t>Rewards</t>
  </si>
  <si>
    <t>Distribution fees</t>
  </si>
  <si>
    <t>Gross Commission</t>
  </si>
  <si>
    <t>Add : Commission on Re-insurance accepted</t>
  </si>
  <si>
    <t>Less : Commission on Re-insurance ceded</t>
  </si>
  <si>
    <t>Investments in Infrastructure and Housing</t>
  </si>
  <si>
    <t>(c) Derivative Instruments</t>
  </si>
  <si>
    <t>(d) Debentures/ Bonds</t>
  </si>
  <si>
    <t>(g) Investment properties - Real Estate</t>
  </si>
  <si>
    <t>Upto 9 months 2021-22</t>
  </si>
  <si>
    <t>For Q3 2021-22</t>
  </si>
  <si>
    <t>NL-3 Balance Sheet as at 31 December 2021</t>
  </si>
  <si>
    <t>Fair Value Change- Shareholder's Funds</t>
  </si>
  <si>
    <t>Fair Value Change- Policyholder's Funds</t>
  </si>
  <si>
    <t>NL-10 Reserves and Surplus as at 31 December 2021</t>
  </si>
  <si>
    <t>NL-11 Borrowings Schedule as at 31 December 2021</t>
  </si>
  <si>
    <t>NL-12 Investments as at 31 December 2021</t>
  </si>
  <si>
    <t>NL-13 Loans as at 31 December 2021</t>
  </si>
  <si>
    <t>NL-14 Fixed Assets. Net Block as at 31 December 2021</t>
  </si>
  <si>
    <t>NL-15 Cash and Bank Balance as at 31 December 2021</t>
  </si>
  <si>
    <t>NL-17 Current Liabilities as at 31 December 2021</t>
  </si>
  <si>
    <t>NL-26 Solvency Margin KGII for the period ended 31 December 2021</t>
  </si>
  <si>
    <t>NL-40 Underwriting Performance upto 31 December 2021</t>
  </si>
  <si>
    <t xml:space="preserve"> </t>
  </si>
  <si>
    <t>For taxation (less advance tax paid and taxes deducted at source)</t>
  </si>
  <si>
    <t>1.21 times</t>
  </si>
  <si>
    <t>2.34 times</t>
  </si>
  <si>
    <t xml:space="preserve">3.47 times </t>
  </si>
  <si>
    <t xml:space="preserve">0.82 times </t>
  </si>
  <si>
    <t>(0.16) times</t>
  </si>
  <si>
    <t>0.31 times</t>
  </si>
  <si>
    <t xml:space="preserve">(0.20) times </t>
  </si>
  <si>
    <t xml:space="preserve">0.31 times </t>
  </si>
  <si>
    <t>1.78 times</t>
  </si>
  <si>
    <t>NL-18 Provisions Schedule as at 31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</si>
</sst>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_ ;\-0\ "/>
    <numFmt numFmtId="166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7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1" fontId="2" fillId="0" borderId="1" xfId="0" applyNumberFormat="1" applyFont="1" applyBorder="1"/>
    <xf numFmtId="1" fontId="2" fillId="0" borderId="0" xfId="0" applyNumberFormat="1" applyFont="1"/>
    <xf numFmtId="9" fontId="0" fillId="0" borderId="1" xfId="0" applyNumberFormat="1" applyBorder="1"/>
    <xf numFmtId="1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8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0" fillId="0" borderId="1" xfId="0" applyNumberFormat="1" applyBorder="1"/>
    <xf numFmtId="2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/>
    <xf numFmtId="2" fontId="2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9" fontId="0" fillId="0" borderId="1" xfId="0" applyNumberFormat="1" applyBorder="1" applyAlignment="1">
      <alignment horizontal="right"/>
    </xf>
    <xf numFmtId="1" fontId="0" fillId="0" borderId="1" xfId="0" applyNumberFormat="1" applyFont="1" applyFill="1" applyBorder="1"/>
    <xf numFmtId="16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/>
    <xf numFmtId="9" fontId="2" fillId="0" borderId="1" xfId="1" applyNumberFormat="1" applyFont="1" applyBorder="1"/>
    <xf numFmtId="9" fontId="0" fillId="0" borderId="1" xfId="1" applyNumberFormat="1" applyFont="1" applyBorder="1"/>
    <xf numFmtId="0" fontId="0" fillId="0" borderId="0" xfId="0" applyAlignment="1">
      <alignment horizontal="right"/>
    </xf>
    <xf numFmtId="1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9" fontId="0" fillId="0" borderId="1" xfId="1" applyNumberFormat="1" applyFont="1" applyBorder="1" applyAlignment="1">
      <alignment horizontal="right"/>
    </xf>
    <xf numFmtId="1" fontId="11" fillId="0" borderId="1" xfId="0" applyNumberFormat="1" applyFont="1" applyBorder="1"/>
    <xf numFmtId="1" fontId="14" fillId="0" borderId="1" xfId="0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1" fillId="0" borderId="0" xfId="0" applyNumberFormat="1" applyFont="1"/>
    <xf numFmtId="1" fontId="0" fillId="3" borderId="0" xfId="0" applyNumberFormat="1" applyFill="1"/>
    <xf numFmtId="1" fontId="1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right"/>
    </xf>
    <xf numFmtId="0" fontId="1" fillId="0" borderId="1" xfId="0" applyFont="1" applyBorder="1"/>
    <xf numFmtId="1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2" fontId="0" fillId="0" borderId="4" xfId="0" applyNumberFormat="1" applyBorder="1"/>
    <xf numFmtId="4" fontId="0" fillId="0" borderId="0" xfId="0" applyNumberFormat="1"/>
    <xf numFmtId="3" fontId="0" fillId="0" borderId="1" xfId="0" applyNumberFormat="1" applyBorder="1"/>
    <xf numFmtId="165" fontId="0" fillId="0" borderId="0" xfId="8" applyNumberFormat="1" applyFont="1"/>
    <xf numFmtId="166" fontId="0" fillId="0" borderId="1" xfId="0" applyNumberFormat="1" applyBorder="1"/>
    <xf numFmtId="164" fontId="0" fillId="0" borderId="1" xfId="1" applyNumberFormat="1" applyFont="1" applyBorder="1"/>
    <xf numFmtId="1" fontId="0" fillId="0" borderId="1" xfId="0" applyNumberForma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</cellXfs>
  <cellStyles count="9">
    <cellStyle name="Comma" xfId="8" builtinId="3"/>
    <cellStyle name="Comma 2" xfId="3"/>
    <cellStyle name="Comma 3" xfId="5"/>
    <cellStyle name="Comma 4" xfId="7"/>
    <cellStyle name="Currency" xfId="2" builtinId="4"/>
    <cellStyle name="Excel Built-in Normal" xfId="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63" width="16" style="71" customWidth="1"/>
    <col min="64" max="64" width="16" style="32" customWidth="1"/>
    <col min="65" max="65" width="16" style="7" customWidth="1"/>
    <col min="66" max="16384" width="9.140625" style="71"/>
  </cols>
  <sheetData>
    <row r="1" spans="1:65" ht="18.75" x14ac:dyDescent="0.3">
      <c r="A1" s="4" t="s">
        <v>32</v>
      </c>
    </row>
    <row r="2" spans="1:65" x14ac:dyDescent="0.25">
      <c r="A2" s="5" t="s">
        <v>98</v>
      </c>
    </row>
    <row r="3" spans="1:65" s="58" customFormat="1" x14ac:dyDescent="0.25">
      <c r="A3" s="57" t="s">
        <v>0</v>
      </c>
      <c r="B3" s="153" t="s">
        <v>1</v>
      </c>
      <c r="C3" s="154"/>
      <c r="D3" s="153" t="s">
        <v>234</v>
      </c>
      <c r="E3" s="154"/>
      <c r="F3" s="153" t="s">
        <v>2</v>
      </c>
      <c r="G3" s="154"/>
      <c r="H3" s="153" t="s">
        <v>3</v>
      </c>
      <c r="I3" s="154"/>
      <c r="J3" s="153" t="s">
        <v>243</v>
      </c>
      <c r="K3" s="154"/>
      <c r="L3" s="153" t="s">
        <v>235</v>
      </c>
      <c r="M3" s="154"/>
      <c r="N3" s="153" t="s">
        <v>246</v>
      </c>
      <c r="O3" s="154"/>
      <c r="P3" s="153" t="s">
        <v>5</v>
      </c>
      <c r="Q3" s="154"/>
      <c r="R3" s="153" t="s">
        <v>4</v>
      </c>
      <c r="S3" s="154"/>
      <c r="T3" s="153" t="s">
        <v>6</v>
      </c>
      <c r="U3" s="154"/>
      <c r="V3" s="153" t="s">
        <v>7</v>
      </c>
      <c r="W3" s="154"/>
      <c r="X3" s="153" t="s">
        <v>8</v>
      </c>
      <c r="Y3" s="154"/>
      <c r="Z3" s="153" t="s">
        <v>9</v>
      </c>
      <c r="AA3" s="154"/>
      <c r="AB3" s="153" t="s">
        <v>242</v>
      </c>
      <c r="AC3" s="154"/>
      <c r="AD3" s="153" t="s">
        <v>10</v>
      </c>
      <c r="AE3" s="154"/>
      <c r="AF3" s="153" t="s">
        <v>11</v>
      </c>
      <c r="AG3" s="154"/>
      <c r="AH3" s="153" t="s">
        <v>236</v>
      </c>
      <c r="AI3" s="154"/>
      <c r="AJ3" s="153" t="s">
        <v>245</v>
      </c>
      <c r="AK3" s="154"/>
      <c r="AL3" s="153" t="s">
        <v>12</v>
      </c>
      <c r="AM3" s="154"/>
      <c r="AN3" s="153" t="s">
        <v>237</v>
      </c>
      <c r="AO3" s="154"/>
      <c r="AP3" s="153" t="s">
        <v>238</v>
      </c>
      <c r="AQ3" s="154"/>
      <c r="AR3" s="153" t="s">
        <v>241</v>
      </c>
      <c r="AS3" s="154"/>
      <c r="AT3" s="153" t="s">
        <v>13</v>
      </c>
      <c r="AU3" s="154"/>
      <c r="AV3" s="153" t="s">
        <v>14</v>
      </c>
      <c r="AW3" s="154"/>
      <c r="AX3" s="153" t="s">
        <v>15</v>
      </c>
      <c r="AY3" s="154"/>
      <c r="AZ3" s="153" t="s">
        <v>16</v>
      </c>
      <c r="BA3" s="154"/>
      <c r="BB3" s="153" t="s">
        <v>17</v>
      </c>
      <c r="BC3" s="154"/>
      <c r="BD3" s="153" t="s">
        <v>239</v>
      </c>
      <c r="BE3" s="154"/>
      <c r="BF3" s="153" t="s">
        <v>240</v>
      </c>
      <c r="BG3" s="154"/>
      <c r="BH3" s="153" t="s">
        <v>18</v>
      </c>
      <c r="BI3" s="154"/>
      <c r="BJ3" s="153" t="s">
        <v>19</v>
      </c>
      <c r="BK3" s="154"/>
      <c r="BL3" s="155" t="s">
        <v>20</v>
      </c>
      <c r="BM3" s="156"/>
    </row>
    <row r="4" spans="1:65" s="55" customFormat="1" ht="30" x14ac:dyDescent="0.25">
      <c r="A4" s="52"/>
      <c r="B4" s="53" t="s">
        <v>303</v>
      </c>
      <c r="C4" s="54" t="s">
        <v>302</v>
      </c>
      <c r="D4" s="53" t="s">
        <v>303</v>
      </c>
      <c r="E4" s="54" t="s">
        <v>302</v>
      </c>
      <c r="F4" s="53" t="s">
        <v>303</v>
      </c>
      <c r="G4" s="54" t="s">
        <v>302</v>
      </c>
      <c r="H4" s="53" t="s">
        <v>303</v>
      </c>
      <c r="I4" s="54" t="s">
        <v>302</v>
      </c>
      <c r="J4" s="53" t="s">
        <v>303</v>
      </c>
      <c r="K4" s="54" t="s">
        <v>302</v>
      </c>
      <c r="L4" s="53" t="s">
        <v>303</v>
      </c>
      <c r="M4" s="54" t="s">
        <v>302</v>
      </c>
      <c r="N4" s="53" t="s">
        <v>303</v>
      </c>
      <c r="O4" s="54" t="s">
        <v>302</v>
      </c>
      <c r="P4" s="53" t="s">
        <v>303</v>
      </c>
      <c r="Q4" s="54" t="s">
        <v>302</v>
      </c>
      <c r="R4" s="53" t="s">
        <v>303</v>
      </c>
      <c r="S4" s="54" t="s">
        <v>302</v>
      </c>
      <c r="T4" s="53" t="s">
        <v>303</v>
      </c>
      <c r="U4" s="54" t="s">
        <v>302</v>
      </c>
      <c r="V4" s="53" t="s">
        <v>303</v>
      </c>
      <c r="W4" s="54" t="s">
        <v>302</v>
      </c>
      <c r="X4" s="53" t="s">
        <v>303</v>
      </c>
      <c r="Y4" s="54" t="s">
        <v>302</v>
      </c>
      <c r="Z4" s="53" t="s">
        <v>303</v>
      </c>
      <c r="AA4" s="54" t="s">
        <v>302</v>
      </c>
      <c r="AB4" s="53" t="s">
        <v>303</v>
      </c>
      <c r="AC4" s="54" t="s">
        <v>302</v>
      </c>
      <c r="AD4" s="53" t="s">
        <v>303</v>
      </c>
      <c r="AE4" s="54" t="s">
        <v>302</v>
      </c>
      <c r="AF4" s="53" t="s">
        <v>303</v>
      </c>
      <c r="AG4" s="54" t="s">
        <v>302</v>
      </c>
      <c r="AH4" s="53" t="s">
        <v>303</v>
      </c>
      <c r="AI4" s="54" t="s">
        <v>302</v>
      </c>
      <c r="AJ4" s="53" t="s">
        <v>303</v>
      </c>
      <c r="AK4" s="54" t="s">
        <v>302</v>
      </c>
      <c r="AL4" s="53" t="s">
        <v>303</v>
      </c>
      <c r="AM4" s="54" t="s">
        <v>302</v>
      </c>
      <c r="AN4" s="53" t="s">
        <v>303</v>
      </c>
      <c r="AO4" s="54" t="s">
        <v>302</v>
      </c>
      <c r="AP4" s="53" t="s">
        <v>303</v>
      </c>
      <c r="AQ4" s="54" t="s">
        <v>302</v>
      </c>
      <c r="AR4" s="53" t="s">
        <v>303</v>
      </c>
      <c r="AS4" s="54" t="s">
        <v>302</v>
      </c>
      <c r="AT4" s="53" t="s">
        <v>303</v>
      </c>
      <c r="AU4" s="54" t="s">
        <v>302</v>
      </c>
      <c r="AV4" s="53" t="s">
        <v>303</v>
      </c>
      <c r="AW4" s="54" t="s">
        <v>302</v>
      </c>
      <c r="AX4" s="53" t="s">
        <v>303</v>
      </c>
      <c r="AY4" s="54" t="s">
        <v>302</v>
      </c>
      <c r="AZ4" s="53" t="s">
        <v>303</v>
      </c>
      <c r="BA4" s="54" t="s">
        <v>302</v>
      </c>
      <c r="BB4" s="53" t="s">
        <v>303</v>
      </c>
      <c r="BC4" s="54" t="s">
        <v>302</v>
      </c>
      <c r="BD4" s="53" t="s">
        <v>303</v>
      </c>
      <c r="BE4" s="54" t="s">
        <v>302</v>
      </c>
      <c r="BF4" s="53" t="s">
        <v>303</v>
      </c>
      <c r="BG4" s="54" t="s">
        <v>302</v>
      </c>
      <c r="BH4" s="53" t="s">
        <v>303</v>
      </c>
      <c r="BI4" s="54" t="s">
        <v>302</v>
      </c>
      <c r="BJ4" s="53" t="s">
        <v>303</v>
      </c>
      <c r="BK4" s="54" t="s">
        <v>302</v>
      </c>
      <c r="BL4" s="53" t="s">
        <v>303</v>
      </c>
      <c r="BM4" s="54" t="s">
        <v>302</v>
      </c>
    </row>
    <row r="5" spans="1:65" x14ac:dyDescent="0.25">
      <c r="A5" s="2" t="s">
        <v>21</v>
      </c>
      <c r="B5" s="92">
        <v>12575</v>
      </c>
      <c r="C5" s="92">
        <v>30401</v>
      </c>
      <c r="D5" s="92">
        <v>28455</v>
      </c>
      <c r="E5" s="92">
        <v>78892</v>
      </c>
      <c r="F5" s="92">
        <v>178751</v>
      </c>
      <c r="G5" s="92">
        <v>508183</v>
      </c>
      <c r="H5" s="92">
        <v>192970</v>
      </c>
      <c r="I5" s="92">
        <v>579095</v>
      </c>
      <c r="J5" s="92">
        <v>64772</v>
      </c>
      <c r="K5" s="92">
        <v>174170</v>
      </c>
      <c r="L5" s="92">
        <v>87478</v>
      </c>
      <c r="M5" s="92">
        <v>256647</v>
      </c>
      <c r="N5" s="92">
        <v>90298</v>
      </c>
      <c r="O5" s="92">
        <v>239235</v>
      </c>
      <c r="P5" s="92">
        <v>22288.61</v>
      </c>
      <c r="Q5" s="92">
        <v>57975.92</v>
      </c>
      <c r="R5" s="91">
        <v>6061.63</v>
      </c>
      <c r="S5" s="91">
        <v>17044.080000000002</v>
      </c>
      <c r="T5" s="92">
        <v>67792.639999999999</v>
      </c>
      <c r="U5" s="92">
        <v>179196.79999999999</v>
      </c>
      <c r="V5" s="92">
        <v>177501</v>
      </c>
      <c r="W5" s="92">
        <v>515145</v>
      </c>
      <c r="X5" s="92">
        <v>331188</v>
      </c>
      <c r="Y5" s="92">
        <v>971431</v>
      </c>
      <c r="Z5" s="92">
        <v>143471</v>
      </c>
      <c r="AA5" s="92">
        <v>412334</v>
      </c>
      <c r="AB5" s="92">
        <v>12138.66</v>
      </c>
      <c r="AC5" s="92">
        <v>35090.71</v>
      </c>
      <c r="AD5" s="92">
        <v>32099</v>
      </c>
      <c r="AE5" s="92">
        <v>94432</v>
      </c>
      <c r="AF5" s="92">
        <v>23206.73</v>
      </c>
      <c r="AG5" s="92">
        <v>65857.5</v>
      </c>
      <c r="AH5" s="92">
        <v>21214.48</v>
      </c>
      <c r="AI5" s="92">
        <v>57749.88</v>
      </c>
      <c r="AJ5" s="92">
        <v>42704</v>
      </c>
      <c r="AK5" s="92">
        <v>118231</v>
      </c>
      <c r="AL5" s="92">
        <v>287266.95</v>
      </c>
      <c r="AM5" s="92">
        <v>911706.25</v>
      </c>
      <c r="AN5" s="92">
        <v>2246</v>
      </c>
      <c r="AO5" s="92">
        <v>6310</v>
      </c>
      <c r="AP5" s="92">
        <v>7775</v>
      </c>
      <c r="AQ5" s="92">
        <v>21707</v>
      </c>
      <c r="AR5" s="92">
        <v>145609</v>
      </c>
      <c r="AS5" s="76">
        <v>389577</v>
      </c>
      <c r="AT5" s="92">
        <v>55539</v>
      </c>
      <c r="AU5" s="92">
        <v>163636</v>
      </c>
      <c r="AV5" s="92">
        <v>105680</v>
      </c>
      <c r="AW5" s="92">
        <v>305271</v>
      </c>
      <c r="AX5" s="92">
        <v>43686</v>
      </c>
      <c r="AY5" s="92">
        <v>138279</v>
      </c>
      <c r="AZ5" s="92">
        <v>252831</v>
      </c>
      <c r="BA5" s="92">
        <v>718799</v>
      </c>
      <c r="BB5" s="92">
        <v>166757</v>
      </c>
      <c r="BC5" s="92">
        <v>476631</v>
      </c>
      <c r="BD5" s="92">
        <v>739835</v>
      </c>
      <c r="BE5" s="92">
        <v>2164550</v>
      </c>
      <c r="BF5" s="92">
        <v>286950</v>
      </c>
      <c r="BG5" s="92">
        <v>864639</v>
      </c>
      <c r="BH5" s="92">
        <v>337820</v>
      </c>
      <c r="BI5" s="92">
        <v>962060</v>
      </c>
      <c r="BJ5" s="92">
        <v>47704</v>
      </c>
      <c r="BK5" s="92">
        <v>94163</v>
      </c>
      <c r="BL5" s="67">
        <f>B5+D5+F5+H5+J5+L5+N5+P5+R5+T5+V5+X5+Z5+AB5+AD5+AF5+AH5+AJ5+AL5+AN5+AP5+AR5+AT5+AV5+AX5+AZ5+BB5+BD5+BF5+BH5+BJ5</f>
        <v>4014663.6999999997</v>
      </c>
      <c r="BM5" s="67">
        <f>C5+E5+G5+I5+K5+M5+O5+Q5+S5+U5+W5+Y5+AA5+AC5+AE5+AG5+AI5+AK5+AM5+AO5+AQ5+AS5+AU5+AW5+AY5+BA5+BC5+BE5+BG5+BI5+BK5</f>
        <v>11608439.140000001</v>
      </c>
    </row>
    <row r="6" spans="1:65" ht="30" x14ac:dyDescent="0.25">
      <c r="A6" s="2" t="s">
        <v>22</v>
      </c>
      <c r="B6" s="92">
        <v>33</v>
      </c>
      <c r="C6" s="92">
        <v>139</v>
      </c>
      <c r="D6" s="92">
        <v>133</v>
      </c>
      <c r="E6" s="92">
        <v>462</v>
      </c>
      <c r="F6" s="92">
        <v>121</v>
      </c>
      <c r="G6" s="92">
        <v>1765</v>
      </c>
      <c r="H6" s="92">
        <v>3941</v>
      </c>
      <c r="I6" s="92">
        <v>26671</v>
      </c>
      <c r="J6" s="92">
        <v>110</v>
      </c>
      <c r="K6" s="92">
        <v>308</v>
      </c>
      <c r="L6" s="92">
        <v>1129</v>
      </c>
      <c r="M6" s="92">
        <v>6130</v>
      </c>
      <c r="N6" s="92">
        <v>89</v>
      </c>
      <c r="O6" s="92">
        <v>524</v>
      </c>
      <c r="P6" s="92">
        <v>1334.11</v>
      </c>
      <c r="Q6" s="92">
        <v>5780.94</v>
      </c>
      <c r="R6" s="91">
        <v>265.76</v>
      </c>
      <c r="S6" s="91">
        <v>515.91999999999996</v>
      </c>
      <c r="T6" s="92">
        <v>1272.71</v>
      </c>
      <c r="U6" s="92">
        <v>2834.7</v>
      </c>
      <c r="V6" s="92">
        <v>4590</v>
      </c>
      <c r="W6" s="92">
        <v>10945</v>
      </c>
      <c r="X6" s="92">
        <v>9958</v>
      </c>
      <c r="Y6" s="92">
        <v>43380</v>
      </c>
      <c r="Z6" s="92">
        <v>10649</v>
      </c>
      <c r="AA6" s="92">
        <v>15018</v>
      </c>
      <c r="AB6" s="92">
        <v>27.22</v>
      </c>
      <c r="AC6" s="92">
        <v>273.14999999999998</v>
      </c>
      <c r="AD6" s="92">
        <v>135</v>
      </c>
      <c r="AE6" s="92">
        <v>420</v>
      </c>
      <c r="AF6" s="92">
        <v>688.15</v>
      </c>
      <c r="AG6" s="92">
        <v>1292.1500000000001</v>
      </c>
      <c r="AH6" s="92">
        <v>31.12</v>
      </c>
      <c r="AI6" s="92">
        <v>239.87</v>
      </c>
      <c r="AJ6" s="92">
        <v>117</v>
      </c>
      <c r="AK6" s="92">
        <v>440</v>
      </c>
      <c r="AL6" s="92">
        <v>16500.91</v>
      </c>
      <c r="AM6" s="92">
        <v>62668.17</v>
      </c>
      <c r="AN6" s="92">
        <v>33</v>
      </c>
      <c r="AO6" s="92">
        <v>708</v>
      </c>
      <c r="AP6" s="92">
        <v>2</v>
      </c>
      <c r="AQ6" s="92">
        <v>33</v>
      </c>
      <c r="AR6" s="92">
        <v>3753</v>
      </c>
      <c r="AS6" s="76">
        <v>9056</v>
      </c>
      <c r="AT6" s="92">
        <v>2188</v>
      </c>
      <c r="AU6" s="92">
        <v>7369</v>
      </c>
      <c r="AV6" s="92">
        <v>540</v>
      </c>
      <c r="AW6" s="92">
        <v>6350</v>
      </c>
      <c r="AX6" s="92">
        <v>6743</v>
      </c>
      <c r="AY6" s="92">
        <v>11139</v>
      </c>
      <c r="AZ6" s="92">
        <v>1279</v>
      </c>
      <c r="BA6" s="92">
        <v>9891</v>
      </c>
      <c r="BB6" s="92">
        <v>4548</v>
      </c>
      <c r="BC6" s="92">
        <v>22912</v>
      </c>
      <c r="BD6" s="92">
        <v>79394</v>
      </c>
      <c r="BE6" s="92">
        <v>177866</v>
      </c>
      <c r="BF6" s="92">
        <v>12729</v>
      </c>
      <c r="BG6" s="92">
        <v>43251</v>
      </c>
      <c r="BH6" s="92">
        <v>20549</v>
      </c>
      <c r="BI6" s="92">
        <v>45863</v>
      </c>
      <c r="BJ6" s="92">
        <v>908</v>
      </c>
      <c r="BK6" s="92">
        <v>1934</v>
      </c>
      <c r="BL6" s="67">
        <f t="shared" ref="BL6:BL15" si="0">B6+D6+F6+H6+J6+L6+N6+P6+R6+T6+V6+X6+Z6+AB6+AD6+AF6+AH6+AJ6+AL6+AN6+AP6+AR6+AT6+AV6+AX6+AZ6+BB6+BD6+BF6+BH6+BJ6</f>
        <v>183790.98</v>
      </c>
      <c r="BM6" s="67">
        <f t="shared" ref="BM6:BM15" si="1">C6+E6+G6+I6+K6+M6+O6+Q6+S6+U6+W6+Y6+AA6+AC6+AE6+AG6+AI6+AK6+AM6+AO6+AQ6+AS6+AU6+AW6+AY6+BA6+BC6+BE6+BG6+BI6+BK6</f>
        <v>516178.89999999997</v>
      </c>
    </row>
    <row r="7" spans="1:65" x14ac:dyDescent="0.25">
      <c r="A7" s="2" t="s">
        <v>23</v>
      </c>
      <c r="B7" s="76">
        <f t="shared" ref="B7" si="2">B9-B8-B6-B5</f>
        <v>0</v>
      </c>
      <c r="C7" s="76">
        <f t="shared" ref="C7:I7" si="3">C9-C8-C6-C5</f>
        <v>0</v>
      </c>
      <c r="D7" s="76">
        <f t="shared" si="3"/>
        <v>0</v>
      </c>
      <c r="E7" s="76">
        <f t="shared" si="3"/>
        <v>0</v>
      </c>
      <c r="F7" s="76">
        <f t="shared" si="3"/>
        <v>1146</v>
      </c>
      <c r="G7" s="76">
        <f t="shared" si="3"/>
        <v>2034</v>
      </c>
      <c r="H7" s="76">
        <f t="shared" si="3"/>
        <v>554</v>
      </c>
      <c r="I7" s="76">
        <f t="shared" si="3"/>
        <v>1735</v>
      </c>
      <c r="J7" s="76">
        <f t="shared" ref="J7:BK7" si="4">J9-J8-J6-J5</f>
        <v>0</v>
      </c>
      <c r="K7" s="76">
        <f t="shared" si="4"/>
        <v>0</v>
      </c>
      <c r="L7" s="76">
        <f t="shared" si="4"/>
        <v>11835</v>
      </c>
      <c r="M7" s="76">
        <f t="shared" si="4"/>
        <v>23634</v>
      </c>
      <c r="N7" s="76">
        <f t="shared" si="4"/>
        <v>-2</v>
      </c>
      <c r="O7" s="76">
        <f t="shared" si="4"/>
        <v>111</v>
      </c>
      <c r="P7" s="76">
        <f t="shared" si="4"/>
        <v>53.779999999998836</v>
      </c>
      <c r="Q7" s="76">
        <f t="shared" si="4"/>
        <v>139.78000000000611</v>
      </c>
      <c r="R7" s="91">
        <f t="shared" si="4"/>
        <v>0.70999999999912689</v>
      </c>
      <c r="S7" s="91">
        <f t="shared" si="4"/>
        <v>2.6000000000021828</v>
      </c>
      <c r="T7" s="76">
        <f t="shared" si="4"/>
        <v>5.5299999999988358</v>
      </c>
      <c r="U7" s="76">
        <f t="shared" si="4"/>
        <v>1761.5199999999895</v>
      </c>
      <c r="V7" s="76">
        <f t="shared" si="4"/>
        <v>72</v>
      </c>
      <c r="W7" s="76">
        <f t="shared" ref="W7" si="5">W9-W8-W6-W5</f>
        <v>407</v>
      </c>
      <c r="X7" s="76">
        <f t="shared" si="4"/>
        <v>1003</v>
      </c>
      <c r="Y7" s="76">
        <f t="shared" ref="Y7" si="6">Y9-Y8-Y6-Y5</f>
        <v>2679</v>
      </c>
      <c r="Z7" s="76">
        <f t="shared" si="4"/>
        <v>-54</v>
      </c>
      <c r="AA7" s="76">
        <f t="shared" ref="AA7" si="7">AA9-AA8-AA6-AA5</f>
        <v>-225</v>
      </c>
      <c r="AB7" s="76">
        <f t="shared" si="4"/>
        <v>0.88000000000101863</v>
      </c>
      <c r="AC7" s="76">
        <f t="shared" ref="AC7" si="8">AC9-AC8-AC6-AC5</f>
        <v>3.0599999999976717</v>
      </c>
      <c r="AD7" s="76">
        <f t="shared" si="4"/>
        <v>-4</v>
      </c>
      <c r="AE7" s="76">
        <f t="shared" si="4"/>
        <v>13</v>
      </c>
      <c r="AF7" s="76">
        <f t="shared" si="4"/>
        <v>4895.4599999999955</v>
      </c>
      <c r="AG7" s="76">
        <f t="shared" si="4"/>
        <v>5903.1200000000099</v>
      </c>
      <c r="AH7" s="76">
        <f t="shared" si="4"/>
        <v>0</v>
      </c>
      <c r="AI7" s="76">
        <f t="shared" si="4"/>
        <v>1.0000000002037268E-2</v>
      </c>
      <c r="AJ7" s="76">
        <f t="shared" si="4"/>
        <v>8111</v>
      </c>
      <c r="AK7" s="76">
        <f t="shared" ref="AK7" si="9">AK9-AK8-AK6-AK5</f>
        <v>15140</v>
      </c>
      <c r="AL7" s="76">
        <f t="shared" si="4"/>
        <v>0</v>
      </c>
      <c r="AM7" s="76">
        <f t="shared" ref="AM7" si="10">AM9-AM8-AM6-AM5</f>
        <v>0</v>
      </c>
      <c r="AN7" s="76">
        <f t="shared" si="4"/>
        <v>-1</v>
      </c>
      <c r="AO7" s="76">
        <f t="shared" si="4"/>
        <v>0</v>
      </c>
      <c r="AP7" s="76">
        <f t="shared" si="4"/>
        <v>1779</v>
      </c>
      <c r="AQ7" s="76">
        <f t="shared" si="4"/>
        <v>4522</v>
      </c>
      <c r="AR7" s="92">
        <f t="shared" si="4"/>
        <v>13471</v>
      </c>
      <c r="AS7" s="76">
        <f t="shared" si="4"/>
        <v>19913</v>
      </c>
      <c r="AT7" s="76">
        <f t="shared" si="4"/>
        <v>196</v>
      </c>
      <c r="AU7" s="76">
        <f t="shared" si="4"/>
        <v>517</v>
      </c>
      <c r="AV7" s="76">
        <f t="shared" si="4"/>
        <v>47</v>
      </c>
      <c r="AW7" s="76">
        <f t="shared" si="4"/>
        <v>124</v>
      </c>
      <c r="AX7" s="76">
        <f t="shared" si="4"/>
        <v>76</v>
      </c>
      <c r="AY7" s="76">
        <f t="shared" ref="AY7" si="11">AY9-AY8-AY6-AY5</f>
        <v>147</v>
      </c>
      <c r="AZ7" s="76">
        <f t="shared" si="4"/>
        <v>1</v>
      </c>
      <c r="BA7" s="76">
        <f t="shared" si="4"/>
        <v>0</v>
      </c>
      <c r="BB7" s="76">
        <f t="shared" si="4"/>
        <v>137</v>
      </c>
      <c r="BC7" s="76">
        <f t="shared" ref="BC7" si="12">BC9-BC8-BC6-BC5</f>
        <v>626</v>
      </c>
      <c r="BD7" s="76">
        <f t="shared" si="4"/>
        <v>0</v>
      </c>
      <c r="BE7" s="76">
        <f t="shared" si="4"/>
        <v>0</v>
      </c>
      <c r="BF7" s="76">
        <f t="shared" ref="BF7:BG7" si="13">BF9-BF8-BF6-BF5</f>
        <v>-1757</v>
      </c>
      <c r="BG7" s="76">
        <f t="shared" si="13"/>
        <v>-4572</v>
      </c>
      <c r="BH7" s="76">
        <f t="shared" si="4"/>
        <v>32</v>
      </c>
      <c r="BI7" s="76">
        <f t="shared" ref="BI7" si="14">BI9-BI8-BI6-BI5</f>
        <v>82</v>
      </c>
      <c r="BJ7" s="76">
        <f t="shared" si="4"/>
        <v>0</v>
      </c>
      <c r="BK7" s="76">
        <f t="shared" si="4"/>
        <v>0</v>
      </c>
      <c r="BL7" s="67">
        <f t="shared" si="0"/>
        <v>41598.359999999993</v>
      </c>
      <c r="BM7" s="67">
        <f t="shared" si="1"/>
        <v>74697.09</v>
      </c>
    </row>
    <row r="8" spans="1:65" x14ac:dyDescent="0.25">
      <c r="A8" s="2" t="s">
        <v>24</v>
      </c>
      <c r="B8" s="92">
        <v>775</v>
      </c>
      <c r="C8" s="92">
        <v>1910</v>
      </c>
      <c r="D8" s="71">
        <v>1604</v>
      </c>
      <c r="E8" s="92">
        <v>4569</v>
      </c>
      <c r="F8" s="92">
        <v>20046</v>
      </c>
      <c r="G8" s="92">
        <v>56624</v>
      </c>
      <c r="H8" s="92">
        <v>29208</v>
      </c>
      <c r="I8" s="92">
        <v>84980</v>
      </c>
      <c r="J8" s="92">
        <v>3186</v>
      </c>
      <c r="K8" s="92">
        <v>9228</v>
      </c>
      <c r="L8" s="92">
        <v>15527</v>
      </c>
      <c r="M8" s="92">
        <v>46276</v>
      </c>
      <c r="N8" s="92">
        <v>9488</v>
      </c>
      <c r="O8" s="92">
        <v>24367</v>
      </c>
      <c r="P8" s="92">
        <v>13168.64</v>
      </c>
      <c r="Q8" s="92">
        <v>38609.74</v>
      </c>
      <c r="R8" s="91">
        <v>395.34</v>
      </c>
      <c r="S8" s="91">
        <v>1101.8900000000001</v>
      </c>
      <c r="T8" s="92">
        <v>7644.67</v>
      </c>
      <c r="U8" s="92">
        <v>23199.78</v>
      </c>
      <c r="V8" s="92">
        <v>21989</v>
      </c>
      <c r="W8" s="92">
        <v>65728</v>
      </c>
      <c r="X8" s="92">
        <v>43263</v>
      </c>
      <c r="Y8" s="92">
        <v>131864</v>
      </c>
      <c r="Z8" s="92">
        <v>15649</v>
      </c>
      <c r="AA8" s="92">
        <v>46531</v>
      </c>
      <c r="AB8" s="92">
        <v>1415.31</v>
      </c>
      <c r="AC8" s="92">
        <v>3699.26</v>
      </c>
      <c r="AD8" s="92">
        <v>4058</v>
      </c>
      <c r="AE8" s="92">
        <v>11912</v>
      </c>
      <c r="AF8" s="92">
        <v>4704.93</v>
      </c>
      <c r="AG8" s="92">
        <v>13387.31</v>
      </c>
      <c r="AH8" s="92">
        <v>910.8</v>
      </c>
      <c r="AI8" s="92">
        <v>2608.14</v>
      </c>
      <c r="AJ8" s="92">
        <v>2023</v>
      </c>
      <c r="AK8" s="92">
        <v>5713</v>
      </c>
      <c r="AL8" s="92">
        <v>41785.24</v>
      </c>
      <c r="AM8" s="92">
        <v>130912.24</v>
      </c>
      <c r="AN8" s="92">
        <v>491</v>
      </c>
      <c r="AO8" s="92">
        <v>1523</v>
      </c>
      <c r="AP8" s="92">
        <v>1009</v>
      </c>
      <c r="AQ8" s="92">
        <v>2702</v>
      </c>
      <c r="AR8" s="76">
        <v>20507</v>
      </c>
      <c r="AS8" s="76">
        <v>59063</v>
      </c>
      <c r="AT8" s="92">
        <v>8432</v>
      </c>
      <c r="AU8" s="92">
        <v>25178</v>
      </c>
      <c r="AV8" s="92">
        <v>12049</v>
      </c>
      <c r="AW8" s="92">
        <v>34642</v>
      </c>
      <c r="AX8" s="92">
        <v>15025</v>
      </c>
      <c r="AY8" s="92">
        <v>46048</v>
      </c>
      <c r="AZ8" s="92">
        <v>7731</v>
      </c>
      <c r="BA8" s="92">
        <v>26145</v>
      </c>
      <c r="BB8" s="92">
        <v>24842</v>
      </c>
      <c r="BC8" s="92">
        <v>70986</v>
      </c>
      <c r="BD8" s="92">
        <v>65871</v>
      </c>
      <c r="BE8" s="92">
        <v>209865</v>
      </c>
      <c r="BF8" s="92">
        <v>39040</v>
      </c>
      <c r="BG8" s="92">
        <v>120612</v>
      </c>
      <c r="BH8" s="92">
        <v>39516</v>
      </c>
      <c r="BI8" s="92">
        <v>130340</v>
      </c>
      <c r="BJ8" s="92">
        <v>4456</v>
      </c>
      <c r="BK8" s="92">
        <v>13079</v>
      </c>
      <c r="BL8" s="67">
        <f t="shared" si="0"/>
        <v>475809.92999999993</v>
      </c>
      <c r="BM8" s="67">
        <f t="shared" si="1"/>
        <v>1443403.36</v>
      </c>
    </row>
    <row r="9" spans="1:65" s="7" customFormat="1" x14ac:dyDescent="0.25">
      <c r="A9" s="3" t="s">
        <v>25</v>
      </c>
      <c r="B9" s="10">
        <v>13383</v>
      </c>
      <c r="C9" s="10">
        <v>32450</v>
      </c>
      <c r="D9" s="10">
        <v>30192</v>
      </c>
      <c r="E9" s="10">
        <v>83923</v>
      </c>
      <c r="F9" s="10">
        <v>200064</v>
      </c>
      <c r="G9" s="10">
        <v>568606</v>
      </c>
      <c r="H9" s="10">
        <v>226673</v>
      </c>
      <c r="I9" s="10">
        <v>692481</v>
      </c>
      <c r="J9" s="10">
        <v>68068</v>
      </c>
      <c r="K9" s="10">
        <v>183706</v>
      </c>
      <c r="L9" s="10">
        <v>115969</v>
      </c>
      <c r="M9" s="10">
        <v>332687</v>
      </c>
      <c r="N9" s="10">
        <v>99873</v>
      </c>
      <c r="O9" s="10">
        <v>264237</v>
      </c>
      <c r="P9" s="10">
        <v>36845.14</v>
      </c>
      <c r="Q9" s="10">
        <v>102506.38</v>
      </c>
      <c r="R9" s="131">
        <v>6723.44</v>
      </c>
      <c r="S9" s="131">
        <v>18664.490000000002</v>
      </c>
      <c r="T9" s="10">
        <v>76715.55</v>
      </c>
      <c r="U9" s="10">
        <v>206992.8</v>
      </c>
      <c r="V9" s="10">
        <v>204152</v>
      </c>
      <c r="W9" s="10">
        <v>592225</v>
      </c>
      <c r="X9" s="10">
        <v>385412</v>
      </c>
      <c r="Y9" s="10">
        <v>1149354</v>
      </c>
      <c r="Z9" s="10">
        <v>169715</v>
      </c>
      <c r="AA9" s="10">
        <v>473658</v>
      </c>
      <c r="AB9" s="10">
        <v>13582.07</v>
      </c>
      <c r="AC9" s="10">
        <v>39066.18</v>
      </c>
      <c r="AD9" s="10">
        <v>36288</v>
      </c>
      <c r="AE9" s="10">
        <v>106777</v>
      </c>
      <c r="AF9" s="10">
        <v>33495.269999999997</v>
      </c>
      <c r="AG9" s="10">
        <v>86440.08</v>
      </c>
      <c r="AH9" s="10">
        <v>22156.400000000001</v>
      </c>
      <c r="AI9" s="10">
        <v>60597.9</v>
      </c>
      <c r="AJ9" s="10">
        <v>52955</v>
      </c>
      <c r="AK9" s="10">
        <v>139524</v>
      </c>
      <c r="AL9" s="10">
        <v>345553.1</v>
      </c>
      <c r="AM9" s="10">
        <v>1105286.6599999999</v>
      </c>
      <c r="AN9" s="10">
        <v>2769</v>
      </c>
      <c r="AO9" s="10">
        <v>8541</v>
      </c>
      <c r="AP9" s="10">
        <v>10565</v>
      </c>
      <c r="AQ9" s="10">
        <v>28964</v>
      </c>
      <c r="AR9" s="10">
        <v>183340</v>
      </c>
      <c r="AS9" s="10">
        <v>477609</v>
      </c>
      <c r="AT9" s="10">
        <v>66355</v>
      </c>
      <c r="AU9" s="10">
        <v>196700</v>
      </c>
      <c r="AV9" s="10">
        <v>118316</v>
      </c>
      <c r="AW9" s="10">
        <v>346387</v>
      </c>
      <c r="AX9" s="10">
        <v>65530</v>
      </c>
      <c r="AY9" s="10">
        <v>195613</v>
      </c>
      <c r="AZ9" s="10">
        <v>261842</v>
      </c>
      <c r="BA9" s="10">
        <v>754835</v>
      </c>
      <c r="BB9" s="10">
        <v>196284</v>
      </c>
      <c r="BC9" s="10">
        <v>571155</v>
      </c>
      <c r="BD9" s="10">
        <v>885100</v>
      </c>
      <c r="BE9" s="10">
        <v>2552281</v>
      </c>
      <c r="BF9" s="10">
        <v>336962</v>
      </c>
      <c r="BG9" s="10">
        <v>1023930</v>
      </c>
      <c r="BH9" s="10">
        <v>397917</v>
      </c>
      <c r="BI9" s="10">
        <v>1138345</v>
      </c>
      <c r="BJ9" s="10">
        <v>53068</v>
      </c>
      <c r="BK9" s="10">
        <v>109176</v>
      </c>
      <c r="BL9" s="63">
        <f t="shared" si="0"/>
        <v>4715862.97</v>
      </c>
      <c r="BM9" s="63">
        <f t="shared" si="1"/>
        <v>13642718.49</v>
      </c>
    </row>
    <row r="10" spans="1:65" x14ac:dyDescent="0.25">
      <c r="A10" s="2" t="s">
        <v>26</v>
      </c>
      <c r="B10" s="92">
        <v>11818</v>
      </c>
      <c r="C10" s="92">
        <v>32191</v>
      </c>
      <c r="D10" s="92">
        <v>17853</v>
      </c>
      <c r="E10" s="92">
        <v>61325</v>
      </c>
      <c r="F10" s="92">
        <v>174275</v>
      </c>
      <c r="G10" s="92">
        <v>513974</v>
      </c>
      <c r="H10" s="92">
        <v>134402</v>
      </c>
      <c r="I10" s="92">
        <v>430825</v>
      </c>
      <c r="J10" s="92">
        <v>43361</v>
      </c>
      <c r="K10" s="92">
        <v>130299</v>
      </c>
      <c r="L10" s="92">
        <v>56589</v>
      </c>
      <c r="M10" s="92">
        <v>183217</v>
      </c>
      <c r="N10" s="92">
        <v>68030</v>
      </c>
      <c r="O10" s="92">
        <v>182789</v>
      </c>
      <c r="P10" s="92">
        <v>-10156.98</v>
      </c>
      <c r="Q10" s="92">
        <v>64672.88</v>
      </c>
      <c r="R10" s="91">
        <v>5508.16</v>
      </c>
      <c r="S10" s="91">
        <v>17074.7</v>
      </c>
      <c r="T10" s="92">
        <v>49301.52</v>
      </c>
      <c r="U10" s="92">
        <v>127411.24</v>
      </c>
      <c r="V10" s="92">
        <v>142475</v>
      </c>
      <c r="W10" s="92">
        <v>442191</v>
      </c>
      <c r="X10" s="92">
        <v>230351</v>
      </c>
      <c r="Y10" s="92">
        <v>739262</v>
      </c>
      <c r="Z10" s="92">
        <v>130257</v>
      </c>
      <c r="AA10" s="92">
        <v>387149</v>
      </c>
      <c r="AB10" s="92">
        <v>8590.1299999999992</v>
      </c>
      <c r="AC10" s="92">
        <v>26717.14</v>
      </c>
      <c r="AD10" s="92">
        <v>22448</v>
      </c>
      <c r="AE10" s="92">
        <v>62088</v>
      </c>
      <c r="AF10" s="92">
        <v>15080.65</v>
      </c>
      <c r="AG10" s="92">
        <v>46061.58</v>
      </c>
      <c r="AH10" s="92">
        <v>13848.48</v>
      </c>
      <c r="AI10" s="92">
        <v>48829.71</v>
      </c>
      <c r="AJ10" s="92">
        <v>26481</v>
      </c>
      <c r="AK10" s="92">
        <v>80771</v>
      </c>
      <c r="AL10" s="92">
        <v>280170.09999999998</v>
      </c>
      <c r="AM10" s="92">
        <v>926252.94</v>
      </c>
      <c r="AN10" s="92">
        <v>1468</v>
      </c>
      <c r="AO10" s="92">
        <v>3878</v>
      </c>
      <c r="AP10" s="92">
        <v>6087</v>
      </c>
      <c r="AQ10" s="92">
        <v>18434</v>
      </c>
      <c r="AR10" s="76">
        <v>111307</v>
      </c>
      <c r="AS10" s="76">
        <v>302619</v>
      </c>
      <c r="AT10" s="92">
        <v>46360</v>
      </c>
      <c r="AU10" s="92">
        <v>139757</v>
      </c>
      <c r="AV10" s="92">
        <v>96581</v>
      </c>
      <c r="AW10" s="92">
        <v>272348</v>
      </c>
      <c r="AX10" s="92">
        <v>30049</v>
      </c>
      <c r="AY10" s="92">
        <v>105348</v>
      </c>
      <c r="AZ10" s="92">
        <v>264420</v>
      </c>
      <c r="BA10" s="92">
        <v>675519</v>
      </c>
      <c r="BB10" s="92">
        <v>130012</v>
      </c>
      <c r="BC10" s="92">
        <v>367915</v>
      </c>
      <c r="BD10" s="92">
        <v>715795</v>
      </c>
      <c r="BE10" s="92">
        <v>2153391</v>
      </c>
      <c r="BF10" s="92">
        <v>307971</v>
      </c>
      <c r="BG10" s="92">
        <v>961344</v>
      </c>
      <c r="BH10" s="92">
        <v>309985</v>
      </c>
      <c r="BI10" s="92">
        <v>940462</v>
      </c>
      <c r="BJ10" s="92">
        <v>37006</v>
      </c>
      <c r="BK10" s="92">
        <v>70509</v>
      </c>
      <c r="BL10" s="67">
        <f t="shared" si="0"/>
        <v>3477723.0599999996</v>
      </c>
      <c r="BM10" s="67">
        <f t="shared" si="1"/>
        <v>10514625.189999999</v>
      </c>
    </row>
    <row r="11" spans="1:65" x14ac:dyDescent="0.25">
      <c r="A11" s="2" t="s">
        <v>27</v>
      </c>
      <c r="B11" s="92">
        <v>-926</v>
      </c>
      <c r="C11" s="92">
        <v>-1834</v>
      </c>
      <c r="D11" s="92">
        <v>34</v>
      </c>
      <c r="E11" s="92">
        <v>1983</v>
      </c>
      <c r="F11" s="92">
        <v>-378</v>
      </c>
      <c r="G11" s="92">
        <v>-14737</v>
      </c>
      <c r="H11" s="92">
        <v>3468</v>
      </c>
      <c r="I11" s="92">
        <v>-10424</v>
      </c>
      <c r="J11" s="92">
        <v>4072</v>
      </c>
      <c r="K11" s="92">
        <v>6574</v>
      </c>
      <c r="L11" s="92">
        <v>1848</v>
      </c>
      <c r="M11" s="92">
        <v>8456</v>
      </c>
      <c r="N11" s="92">
        <v>4592</v>
      </c>
      <c r="O11" s="92">
        <v>11283</v>
      </c>
      <c r="P11" s="92">
        <v>-506.83</v>
      </c>
      <c r="Q11" s="92">
        <v>-1489.03</v>
      </c>
      <c r="R11" s="91">
        <v>-200.73</v>
      </c>
      <c r="S11" s="91">
        <v>438.75</v>
      </c>
      <c r="T11" s="92">
        <v>-1475.53</v>
      </c>
      <c r="U11" s="92">
        <v>637.82000000000005</v>
      </c>
      <c r="V11" s="92">
        <v>-5179</v>
      </c>
      <c r="W11" s="92">
        <v>-22768</v>
      </c>
      <c r="X11" s="92">
        <v>20270</v>
      </c>
      <c r="Y11" s="92">
        <v>47380</v>
      </c>
      <c r="Z11" s="92">
        <v>10101</v>
      </c>
      <c r="AA11" s="92">
        <v>26243</v>
      </c>
      <c r="AB11" s="92">
        <v>878.32</v>
      </c>
      <c r="AC11" s="92">
        <v>1596.18</v>
      </c>
      <c r="AD11" s="92">
        <v>3551</v>
      </c>
      <c r="AE11" s="92">
        <v>9070</v>
      </c>
      <c r="AF11" s="92">
        <v>-416.82</v>
      </c>
      <c r="AG11" s="92">
        <v>-1731.09</v>
      </c>
      <c r="AH11" s="92">
        <v>2474.73</v>
      </c>
      <c r="AI11" s="92">
        <v>6885.85</v>
      </c>
      <c r="AJ11" s="92">
        <v>2448</v>
      </c>
      <c r="AK11" s="92">
        <v>4966</v>
      </c>
      <c r="AL11" s="92">
        <v>22525.99</v>
      </c>
      <c r="AM11" s="92">
        <v>61677.31</v>
      </c>
      <c r="AN11" s="92">
        <v>133</v>
      </c>
      <c r="AO11" s="92">
        <v>325</v>
      </c>
      <c r="AP11" s="92">
        <v>1120</v>
      </c>
      <c r="AQ11" s="92">
        <v>3237</v>
      </c>
      <c r="AR11" s="76">
        <v>-63</v>
      </c>
      <c r="AS11" s="76">
        <v>-2485</v>
      </c>
      <c r="AT11" s="92">
        <v>5093</v>
      </c>
      <c r="AU11" s="92">
        <v>10874</v>
      </c>
      <c r="AV11" s="92">
        <v>-2936</v>
      </c>
      <c r="AW11" s="92">
        <v>-11255</v>
      </c>
      <c r="AX11" s="92">
        <v>2382</v>
      </c>
      <c r="AY11" s="92">
        <v>6363</v>
      </c>
      <c r="AZ11" s="92">
        <v>35876</v>
      </c>
      <c r="BA11" s="92">
        <v>98494</v>
      </c>
      <c r="BB11" s="92">
        <v>2153</v>
      </c>
      <c r="BC11" s="92">
        <v>14213</v>
      </c>
      <c r="BD11" s="92">
        <v>59050</v>
      </c>
      <c r="BE11" s="92">
        <v>162007</v>
      </c>
      <c r="BF11" s="92">
        <v>24916</v>
      </c>
      <c r="BG11" s="92">
        <v>66516</v>
      </c>
      <c r="BH11" s="92">
        <v>25208</v>
      </c>
      <c r="BI11" s="92">
        <v>65698</v>
      </c>
      <c r="BJ11" s="92">
        <v>3699</v>
      </c>
      <c r="BK11" s="92">
        <v>5194</v>
      </c>
      <c r="BL11" s="67">
        <f t="shared" si="0"/>
        <v>223811.13</v>
      </c>
      <c r="BM11" s="67">
        <f t="shared" si="1"/>
        <v>553388.79</v>
      </c>
    </row>
    <row r="12" spans="1:65" ht="30" x14ac:dyDescent="0.25">
      <c r="A12" s="2" t="s">
        <v>28</v>
      </c>
      <c r="B12" s="92">
        <v>12066</v>
      </c>
      <c r="C12" s="92">
        <v>34691</v>
      </c>
      <c r="D12" s="92">
        <v>18086</v>
      </c>
      <c r="E12" s="92">
        <v>50544</v>
      </c>
      <c r="F12" s="92">
        <v>3698</v>
      </c>
      <c r="G12" s="92">
        <v>24188</v>
      </c>
      <c r="H12" s="92">
        <v>54606</v>
      </c>
      <c r="I12" s="92">
        <v>156285</v>
      </c>
      <c r="J12" s="92">
        <v>27471</v>
      </c>
      <c r="K12" s="92">
        <v>72807</v>
      </c>
      <c r="L12" s="92">
        <v>37327</v>
      </c>
      <c r="M12" s="92">
        <v>96461</v>
      </c>
      <c r="N12" s="92">
        <v>43343</v>
      </c>
      <c r="O12" s="92">
        <v>95671</v>
      </c>
      <c r="P12" s="92">
        <v>7734.27</v>
      </c>
      <c r="Q12" s="92">
        <v>19022.77</v>
      </c>
      <c r="R12" s="91">
        <v>4228.93</v>
      </c>
      <c r="S12" s="91">
        <v>10188.790000000001</v>
      </c>
      <c r="T12" s="92">
        <v>24997.05</v>
      </c>
      <c r="U12" s="92">
        <v>71193.039999999994</v>
      </c>
      <c r="V12" s="92">
        <v>49516</v>
      </c>
      <c r="W12" s="92">
        <v>145377</v>
      </c>
      <c r="X12" s="92">
        <v>107484</v>
      </c>
      <c r="Y12" s="92">
        <v>284273</v>
      </c>
      <c r="Z12" s="92">
        <v>27591</v>
      </c>
      <c r="AA12" s="92">
        <v>70197</v>
      </c>
      <c r="AB12" s="92">
        <v>6080.45</v>
      </c>
      <c r="AC12" s="92">
        <v>15542.74</v>
      </c>
      <c r="AD12" s="92">
        <v>14601</v>
      </c>
      <c r="AE12" s="92">
        <v>38100</v>
      </c>
      <c r="AF12" s="92">
        <v>17120.330000000002</v>
      </c>
      <c r="AG12" s="92">
        <v>39570.94</v>
      </c>
      <c r="AH12" s="92">
        <v>11678.57</v>
      </c>
      <c r="AI12" s="92">
        <v>28653.11</v>
      </c>
      <c r="AJ12" s="92">
        <v>20781</v>
      </c>
      <c r="AK12" s="92">
        <v>56175</v>
      </c>
      <c r="AL12" s="92">
        <v>50527.42</v>
      </c>
      <c r="AM12" s="92">
        <v>188190.2</v>
      </c>
      <c r="AN12" s="92">
        <v>5097</v>
      </c>
      <c r="AO12" s="92">
        <v>10757</v>
      </c>
      <c r="AP12" s="92">
        <v>3804</v>
      </c>
      <c r="AQ12" s="92">
        <v>11215</v>
      </c>
      <c r="AR12" s="76">
        <v>47447</v>
      </c>
      <c r="AS12" s="76">
        <v>128494</v>
      </c>
      <c r="AT12" s="92">
        <v>13754</v>
      </c>
      <c r="AU12" s="92">
        <v>38919</v>
      </c>
      <c r="AV12" s="92">
        <v>34768</v>
      </c>
      <c r="AW12" s="92">
        <v>91885</v>
      </c>
      <c r="AX12" s="92">
        <v>12955</v>
      </c>
      <c r="AY12" s="92">
        <v>31273</v>
      </c>
      <c r="AZ12" s="92">
        <v>43774</v>
      </c>
      <c r="BA12" s="92">
        <v>129216</v>
      </c>
      <c r="BB12" s="92">
        <v>61586</v>
      </c>
      <c r="BC12" s="92">
        <v>159073</v>
      </c>
      <c r="BD12" s="92">
        <v>98999</v>
      </c>
      <c r="BE12" s="92">
        <v>288071</v>
      </c>
      <c r="BF12" s="92">
        <v>73250</v>
      </c>
      <c r="BG12" s="92">
        <v>210850</v>
      </c>
      <c r="BH12" s="92">
        <v>88785</v>
      </c>
      <c r="BI12" s="92">
        <v>262099</v>
      </c>
      <c r="BJ12" s="92">
        <v>8571</v>
      </c>
      <c r="BK12" s="92">
        <v>24247</v>
      </c>
      <c r="BL12" s="67">
        <f t="shared" si="0"/>
        <v>1031727.02</v>
      </c>
      <c r="BM12" s="67">
        <f t="shared" si="1"/>
        <v>2883229.59</v>
      </c>
    </row>
    <row r="13" spans="1:65" x14ac:dyDescent="0.25">
      <c r="A13" s="2" t="s">
        <v>31</v>
      </c>
      <c r="B13" s="76">
        <f>B14-B12-B11-B10</f>
        <v>0</v>
      </c>
      <c r="C13" s="76">
        <f t="shared" ref="C13:I13" si="15">C14-C12-C11-C10</f>
        <v>0</v>
      </c>
      <c r="D13" s="76">
        <f t="shared" si="15"/>
        <v>0</v>
      </c>
      <c r="E13" s="76">
        <f t="shared" si="15"/>
        <v>0</v>
      </c>
      <c r="F13" s="76">
        <f t="shared" si="15"/>
        <v>-3899</v>
      </c>
      <c r="G13" s="76">
        <f t="shared" si="15"/>
        <v>-7999</v>
      </c>
      <c r="H13" s="76">
        <f t="shared" si="15"/>
        <v>83</v>
      </c>
      <c r="I13" s="76">
        <f t="shared" si="15"/>
        <v>201</v>
      </c>
      <c r="J13" s="76">
        <f t="shared" ref="J13:BJ13" si="16">J14-J12-J11-J10</f>
        <v>-4991</v>
      </c>
      <c r="K13" s="76">
        <f t="shared" si="16"/>
        <v>-13588</v>
      </c>
      <c r="L13" s="76">
        <f t="shared" si="16"/>
        <v>0</v>
      </c>
      <c r="M13" s="76">
        <f t="shared" si="16"/>
        <v>0</v>
      </c>
      <c r="N13" s="76">
        <f t="shared" si="16"/>
        <v>-3</v>
      </c>
      <c r="O13" s="76">
        <f t="shared" ref="O13" si="17">O14-O12-O11-O10</f>
        <v>-5</v>
      </c>
      <c r="P13" s="76">
        <f t="shared" si="16"/>
        <v>-6776</v>
      </c>
      <c r="Q13" s="76">
        <f t="shared" si="16"/>
        <v>-20651.999999999993</v>
      </c>
      <c r="R13" s="91">
        <f t="shared" si="16"/>
        <v>0</v>
      </c>
      <c r="S13" s="91">
        <f t="shared" si="16"/>
        <v>-383.62000000000262</v>
      </c>
      <c r="T13" s="76">
        <f t="shared" si="16"/>
        <v>0</v>
      </c>
      <c r="U13" s="76">
        <f t="shared" si="16"/>
        <v>0</v>
      </c>
      <c r="V13" s="76">
        <f t="shared" si="16"/>
        <v>1</v>
      </c>
      <c r="W13" s="76">
        <f t="shared" ref="W13" si="18">W14-W12-W11-W10</f>
        <v>1</v>
      </c>
      <c r="X13" s="76">
        <f t="shared" si="16"/>
        <v>0</v>
      </c>
      <c r="Y13" s="76">
        <f t="shared" ref="Y13" si="19">Y14-Y12-Y11-Y10</f>
        <v>0</v>
      </c>
      <c r="Z13" s="76">
        <f t="shared" si="16"/>
        <v>0</v>
      </c>
      <c r="AA13" s="76">
        <f t="shared" ref="AA13" si="20">AA14-AA12-AA11-AA10</f>
        <v>0</v>
      </c>
      <c r="AB13" s="76">
        <f t="shared" si="16"/>
        <v>4.8700000000008004</v>
      </c>
      <c r="AC13" s="76">
        <f t="shared" ref="AC13" si="21">AC14-AC12-AC11-AC10</f>
        <v>10.630000000004657</v>
      </c>
      <c r="AD13" s="76">
        <f t="shared" si="16"/>
        <v>0</v>
      </c>
      <c r="AE13" s="76">
        <f t="shared" ref="AE13" si="22">AE14-AE12-AE11-AE10</f>
        <v>0</v>
      </c>
      <c r="AF13" s="76">
        <f t="shared" si="16"/>
        <v>-0.37000000000080036</v>
      </c>
      <c r="AG13" s="76">
        <f t="shared" si="16"/>
        <v>-2.2900000000081491</v>
      </c>
      <c r="AH13" s="76">
        <f t="shared" si="16"/>
        <v>-9.9999999983992893E-3</v>
      </c>
      <c r="AI13" s="76">
        <f t="shared" si="16"/>
        <v>9.9999999947613105E-3</v>
      </c>
      <c r="AJ13" s="76">
        <f t="shared" si="16"/>
        <v>0</v>
      </c>
      <c r="AK13" s="76">
        <f t="shared" ref="AK13" si="23">AK14-AK12-AK11-AK10</f>
        <v>0</v>
      </c>
      <c r="AL13" s="76">
        <f t="shared" si="16"/>
        <v>1204.0700000000652</v>
      </c>
      <c r="AM13" s="76">
        <f t="shared" ref="AM13" si="24">AM14-AM12-AM11-AM10</f>
        <v>3645.9499999999534</v>
      </c>
      <c r="AN13" s="76">
        <f t="shared" si="16"/>
        <v>0</v>
      </c>
      <c r="AO13" s="76">
        <f t="shared" ref="AO13" si="25">AO14-AO12-AO11-AO10</f>
        <v>1</v>
      </c>
      <c r="AP13" s="76">
        <f t="shared" si="16"/>
        <v>0</v>
      </c>
      <c r="AQ13" s="76">
        <f t="shared" ref="AQ13" si="26">AQ14-AQ12-AQ11-AQ10</f>
        <v>0</v>
      </c>
      <c r="AR13" s="76">
        <f t="shared" si="16"/>
        <v>-1</v>
      </c>
      <c r="AS13" s="76">
        <f t="shared" ref="AS13" si="27">AS14-AS12-AS11-AS10</f>
        <v>-1</v>
      </c>
      <c r="AT13" s="76">
        <f t="shared" si="16"/>
        <v>0</v>
      </c>
      <c r="AU13" s="76">
        <f t="shared" si="16"/>
        <v>0</v>
      </c>
      <c r="AV13" s="76">
        <f t="shared" si="16"/>
        <v>0</v>
      </c>
      <c r="AW13" s="76">
        <f t="shared" si="16"/>
        <v>0</v>
      </c>
      <c r="AX13" s="76">
        <f t="shared" si="16"/>
        <v>1</v>
      </c>
      <c r="AY13" s="76">
        <f t="shared" ref="AY13" si="28">AY14-AY12-AY11-AY10</f>
        <v>0</v>
      </c>
      <c r="AZ13" s="76">
        <f t="shared" si="16"/>
        <v>0</v>
      </c>
      <c r="BA13" s="76">
        <f t="shared" si="16"/>
        <v>0</v>
      </c>
      <c r="BB13" s="76">
        <f t="shared" si="16"/>
        <v>0</v>
      </c>
      <c r="BC13" s="76">
        <f t="shared" ref="BC13" si="29">BC14-BC12-BC11-BC10</f>
        <v>0</v>
      </c>
      <c r="BD13" s="76">
        <f t="shared" si="16"/>
        <v>0</v>
      </c>
      <c r="BE13" s="76">
        <f t="shared" si="16"/>
        <v>1</v>
      </c>
      <c r="BF13" s="76">
        <f t="shared" ref="BF13:BG13" si="30">BF14-BF12-BF11-BF10</f>
        <v>1061</v>
      </c>
      <c r="BG13" s="76">
        <f t="shared" si="30"/>
        <v>-11838</v>
      </c>
      <c r="BH13" s="76">
        <f t="shared" si="16"/>
        <v>0</v>
      </c>
      <c r="BI13" s="76">
        <f t="shared" ref="BI13" si="31">BI14-BI12-BI11-BI10</f>
        <v>0</v>
      </c>
      <c r="BJ13" s="76">
        <f t="shared" si="16"/>
        <v>22</v>
      </c>
      <c r="BK13" s="76">
        <f t="shared" ref="BK13" si="32">BK14-BK12-BK11-BK10</f>
        <v>39</v>
      </c>
      <c r="BL13" s="67">
        <f t="shared" si="0"/>
        <v>-13293.439999999933</v>
      </c>
      <c r="BM13" s="67">
        <f t="shared" si="1"/>
        <v>-50569.320000000051</v>
      </c>
    </row>
    <row r="14" spans="1:65" s="7" customFormat="1" x14ac:dyDescent="0.25">
      <c r="A14" s="3" t="s">
        <v>29</v>
      </c>
      <c r="B14" s="10">
        <v>22958</v>
      </c>
      <c r="C14" s="10">
        <v>65048</v>
      </c>
      <c r="D14" s="10">
        <v>35973</v>
      </c>
      <c r="E14" s="10">
        <v>113852</v>
      </c>
      <c r="F14" s="10">
        <v>173696</v>
      </c>
      <c r="G14" s="10">
        <v>515426</v>
      </c>
      <c r="H14" s="10">
        <v>192559</v>
      </c>
      <c r="I14" s="10">
        <v>576887</v>
      </c>
      <c r="J14" s="10">
        <v>69913</v>
      </c>
      <c r="K14" s="10">
        <v>196092</v>
      </c>
      <c r="L14" s="10">
        <v>95764</v>
      </c>
      <c r="M14" s="10">
        <v>288134</v>
      </c>
      <c r="N14" s="10">
        <v>115962</v>
      </c>
      <c r="O14" s="10">
        <v>289738</v>
      </c>
      <c r="P14" s="10">
        <v>-9705.5400000000009</v>
      </c>
      <c r="Q14" s="10">
        <v>61554.62</v>
      </c>
      <c r="R14" s="131">
        <v>9536.36</v>
      </c>
      <c r="S14" s="131">
        <v>27318.62</v>
      </c>
      <c r="T14" s="10">
        <v>72823.039999999994</v>
      </c>
      <c r="U14" s="10">
        <v>199242.1</v>
      </c>
      <c r="V14" s="10">
        <v>186813</v>
      </c>
      <c r="W14" s="10">
        <v>564801</v>
      </c>
      <c r="X14" s="10">
        <v>358105</v>
      </c>
      <c r="Y14" s="10">
        <v>1070915</v>
      </c>
      <c r="Z14" s="10">
        <v>167949</v>
      </c>
      <c r="AA14" s="10">
        <v>483589</v>
      </c>
      <c r="AB14" s="10">
        <v>15553.77</v>
      </c>
      <c r="AC14" s="10">
        <v>43866.69</v>
      </c>
      <c r="AD14" s="10">
        <v>40600</v>
      </c>
      <c r="AE14" s="10">
        <v>109258</v>
      </c>
      <c r="AF14" s="10">
        <v>31783.79</v>
      </c>
      <c r="AG14" s="10">
        <v>83899.14</v>
      </c>
      <c r="AH14" s="10">
        <v>28001.77</v>
      </c>
      <c r="AI14" s="10">
        <v>84368.68</v>
      </c>
      <c r="AJ14" s="10">
        <v>49710</v>
      </c>
      <c r="AK14" s="10">
        <v>141912</v>
      </c>
      <c r="AL14" s="10">
        <v>354427.58</v>
      </c>
      <c r="AM14" s="10">
        <v>1179766.3999999999</v>
      </c>
      <c r="AN14" s="10">
        <v>6698</v>
      </c>
      <c r="AO14" s="10">
        <v>14961</v>
      </c>
      <c r="AP14" s="10">
        <v>11011</v>
      </c>
      <c r="AQ14" s="10">
        <v>32886</v>
      </c>
      <c r="AR14" s="10">
        <v>158690</v>
      </c>
      <c r="AS14" s="10">
        <v>428627</v>
      </c>
      <c r="AT14" s="10">
        <v>65207</v>
      </c>
      <c r="AU14" s="10">
        <v>189550</v>
      </c>
      <c r="AV14" s="10">
        <v>128413</v>
      </c>
      <c r="AW14" s="10">
        <v>352978</v>
      </c>
      <c r="AX14" s="10">
        <v>45387</v>
      </c>
      <c r="AY14" s="10">
        <v>142984</v>
      </c>
      <c r="AZ14" s="10">
        <v>344070</v>
      </c>
      <c r="BA14" s="10">
        <v>903229</v>
      </c>
      <c r="BB14" s="10">
        <v>193751</v>
      </c>
      <c r="BC14" s="10">
        <v>541201</v>
      </c>
      <c r="BD14" s="10">
        <v>873844</v>
      </c>
      <c r="BE14" s="10">
        <v>2603470</v>
      </c>
      <c r="BF14" s="10">
        <v>407198</v>
      </c>
      <c r="BG14" s="10">
        <v>1226872</v>
      </c>
      <c r="BH14" s="10">
        <v>423978</v>
      </c>
      <c r="BI14" s="10">
        <v>1268259</v>
      </c>
      <c r="BJ14" s="10">
        <v>49298</v>
      </c>
      <c r="BK14" s="10">
        <v>99989</v>
      </c>
      <c r="BL14" s="63">
        <f t="shared" si="0"/>
        <v>4719967.7699999996</v>
      </c>
      <c r="BM14" s="63">
        <f t="shared" si="1"/>
        <v>13900674.25</v>
      </c>
    </row>
    <row r="15" spans="1:65" s="7" customFormat="1" x14ac:dyDescent="0.25">
      <c r="A15" s="3" t="s">
        <v>30</v>
      </c>
      <c r="B15" s="10">
        <f>B9-B14</f>
        <v>-9575</v>
      </c>
      <c r="C15" s="10">
        <f t="shared" ref="C15:I15" si="33">C9-C14</f>
        <v>-32598</v>
      </c>
      <c r="D15" s="10">
        <f t="shared" si="33"/>
        <v>-5781</v>
      </c>
      <c r="E15" s="10">
        <f t="shared" si="33"/>
        <v>-29929</v>
      </c>
      <c r="F15" s="10">
        <f t="shared" si="33"/>
        <v>26368</v>
      </c>
      <c r="G15" s="10">
        <f t="shared" si="33"/>
        <v>53180</v>
      </c>
      <c r="H15" s="10">
        <f t="shared" si="33"/>
        <v>34114</v>
      </c>
      <c r="I15" s="10">
        <f t="shared" si="33"/>
        <v>115594</v>
      </c>
      <c r="J15" s="10">
        <f t="shared" ref="J15:BJ15" si="34">J9-J14</f>
        <v>-1845</v>
      </c>
      <c r="K15" s="10">
        <f t="shared" si="34"/>
        <v>-12386</v>
      </c>
      <c r="L15" s="10">
        <f t="shared" si="34"/>
        <v>20205</v>
      </c>
      <c r="M15" s="10">
        <f t="shared" si="34"/>
        <v>44553</v>
      </c>
      <c r="N15" s="10">
        <f t="shared" si="34"/>
        <v>-16089</v>
      </c>
      <c r="O15" s="10">
        <f t="shared" ref="O15" si="35">O9-O14</f>
        <v>-25501</v>
      </c>
      <c r="P15" s="10">
        <f t="shared" si="34"/>
        <v>46550.68</v>
      </c>
      <c r="Q15" s="10">
        <f t="shared" si="34"/>
        <v>40951.760000000002</v>
      </c>
      <c r="R15" s="131">
        <f t="shared" si="34"/>
        <v>-2812.920000000001</v>
      </c>
      <c r="S15" s="131">
        <f t="shared" si="34"/>
        <v>-8654.1299999999974</v>
      </c>
      <c r="T15" s="10">
        <f t="shared" si="34"/>
        <v>3892.5100000000093</v>
      </c>
      <c r="U15" s="10">
        <f t="shared" si="34"/>
        <v>7750.6999999999825</v>
      </c>
      <c r="V15" s="10">
        <f t="shared" si="34"/>
        <v>17339</v>
      </c>
      <c r="W15" s="10">
        <f t="shared" ref="W15" si="36">W9-W14</f>
        <v>27424</v>
      </c>
      <c r="X15" s="10">
        <f t="shared" si="34"/>
        <v>27307</v>
      </c>
      <c r="Y15" s="10">
        <f t="shared" ref="Y15" si="37">Y9-Y14</f>
        <v>78439</v>
      </c>
      <c r="Z15" s="10">
        <f t="shared" si="34"/>
        <v>1766</v>
      </c>
      <c r="AA15" s="10">
        <f t="shared" ref="AA15" si="38">AA9-AA14</f>
        <v>-9931</v>
      </c>
      <c r="AB15" s="10">
        <f t="shared" si="34"/>
        <v>-1971.7000000000007</v>
      </c>
      <c r="AC15" s="10">
        <f t="shared" ref="AC15" si="39">AC9-AC14</f>
        <v>-4800.510000000002</v>
      </c>
      <c r="AD15" s="10">
        <f t="shared" si="34"/>
        <v>-4312</v>
      </c>
      <c r="AE15" s="10">
        <f t="shared" ref="AE15" si="40">AE9-AE14</f>
        <v>-2481</v>
      </c>
      <c r="AF15" s="10">
        <f t="shared" si="34"/>
        <v>1711.4799999999959</v>
      </c>
      <c r="AG15" s="10">
        <f t="shared" si="34"/>
        <v>2540.9400000000023</v>
      </c>
      <c r="AH15" s="10">
        <f t="shared" si="34"/>
        <v>-5845.369999999999</v>
      </c>
      <c r="AI15" s="10">
        <f t="shared" si="34"/>
        <v>-23770.779999999992</v>
      </c>
      <c r="AJ15" s="10">
        <f t="shared" si="34"/>
        <v>3245</v>
      </c>
      <c r="AK15" s="10">
        <f t="shared" ref="AK15" si="41">AK9-AK14</f>
        <v>-2388</v>
      </c>
      <c r="AL15" s="10">
        <f t="shared" si="34"/>
        <v>-8874.4800000000396</v>
      </c>
      <c r="AM15" s="10">
        <f t="shared" ref="AM15" si="42">AM9-AM14</f>
        <v>-74479.739999999991</v>
      </c>
      <c r="AN15" s="10">
        <f t="shared" si="34"/>
        <v>-3929</v>
      </c>
      <c r="AO15" s="10">
        <f t="shared" ref="AO15" si="43">AO9-AO14</f>
        <v>-6420</v>
      </c>
      <c r="AP15" s="10">
        <f t="shared" si="34"/>
        <v>-446</v>
      </c>
      <c r="AQ15" s="10">
        <f t="shared" ref="AQ15" si="44">AQ9-AQ14</f>
        <v>-3922</v>
      </c>
      <c r="AR15" s="10">
        <f t="shared" si="34"/>
        <v>24650</v>
      </c>
      <c r="AS15" s="10">
        <f t="shared" ref="AS15" si="45">AS9-AS14</f>
        <v>48982</v>
      </c>
      <c r="AT15" s="10">
        <f t="shared" si="34"/>
        <v>1148</v>
      </c>
      <c r="AU15" s="10">
        <f t="shared" si="34"/>
        <v>7150</v>
      </c>
      <c r="AV15" s="10">
        <f t="shared" si="34"/>
        <v>-10097</v>
      </c>
      <c r="AW15" s="10">
        <f t="shared" si="34"/>
        <v>-6591</v>
      </c>
      <c r="AX15" s="10">
        <f t="shared" si="34"/>
        <v>20143</v>
      </c>
      <c r="AY15" s="10">
        <f t="shared" ref="AY15" si="46">AY9-AY14</f>
        <v>52629</v>
      </c>
      <c r="AZ15" s="10">
        <f t="shared" si="34"/>
        <v>-82228</v>
      </c>
      <c r="BA15" s="10">
        <f t="shared" si="34"/>
        <v>-148394</v>
      </c>
      <c r="BB15" s="10">
        <f t="shared" si="34"/>
        <v>2533</v>
      </c>
      <c r="BC15" s="10">
        <f t="shared" ref="BC15" si="47">BC9-BC14</f>
        <v>29954</v>
      </c>
      <c r="BD15" s="10">
        <f t="shared" si="34"/>
        <v>11256</v>
      </c>
      <c r="BE15" s="10">
        <f t="shared" si="34"/>
        <v>-51189</v>
      </c>
      <c r="BF15" s="10">
        <f t="shared" ref="BF15:BG15" si="48">BF9-BF14</f>
        <v>-70236</v>
      </c>
      <c r="BG15" s="10">
        <f t="shared" si="48"/>
        <v>-202942</v>
      </c>
      <c r="BH15" s="10">
        <f t="shared" si="34"/>
        <v>-26061</v>
      </c>
      <c r="BI15" s="10">
        <f t="shared" ref="BI15" si="49">BI9-BI14</f>
        <v>-129914</v>
      </c>
      <c r="BJ15" s="10">
        <f t="shared" si="34"/>
        <v>3770</v>
      </c>
      <c r="BK15" s="10">
        <f t="shared" ref="BK15" si="50">BK9-BK14</f>
        <v>9187</v>
      </c>
      <c r="BL15" s="63">
        <f t="shared" si="0"/>
        <v>-4104.8000000000466</v>
      </c>
      <c r="BM15" s="63">
        <f t="shared" si="1"/>
        <v>-257955.76</v>
      </c>
    </row>
  </sheetData>
  <mergeCells count="32">
    <mergeCell ref="H3:I3"/>
    <mergeCell ref="F3:G3"/>
    <mergeCell ref="D3:E3"/>
    <mergeCell ref="B3:C3"/>
    <mergeCell ref="AD3:AE3"/>
    <mergeCell ref="Z3:AA3"/>
    <mergeCell ref="X3:Y3"/>
    <mergeCell ref="V3:W3"/>
    <mergeCell ref="P3:Q3"/>
    <mergeCell ref="AB3:AC3"/>
    <mergeCell ref="L3:M3"/>
    <mergeCell ref="N3:O3"/>
    <mergeCell ref="J3:K3"/>
    <mergeCell ref="T3:U3"/>
    <mergeCell ref="R3:S3"/>
    <mergeCell ref="BB3:BC3"/>
    <mergeCell ref="AZ3:BA3"/>
    <mergeCell ref="AX3:AY3"/>
    <mergeCell ref="AV3:AW3"/>
    <mergeCell ref="AP3:AQ3"/>
    <mergeCell ref="AR3:AS3"/>
    <mergeCell ref="AT3:AU3"/>
    <mergeCell ref="AN3:AO3"/>
    <mergeCell ref="AJ3:AK3"/>
    <mergeCell ref="AH3:AI3"/>
    <mergeCell ref="AF3:AG3"/>
    <mergeCell ref="AL3:AM3"/>
    <mergeCell ref="BD3:BE3"/>
    <mergeCell ref="BL3:BM3"/>
    <mergeCell ref="BJ3:BK3"/>
    <mergeCell ref="BH3:BI3"/>
    <mergeCell ref="BF3:B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43" customWidth="1"/>
    <col min="2" max="94" width="14.28515625" style="43" customWidth="1"/>
    <col min="95" max="16384" width="9.140625" style="43"/>
  </cols>
  <sheetData>
    <row r="1" spans="1:94" ht="18.75" x14ac:dyDescent="0.3">
      <c r="A1" s="42" t="s">
        <v>309</v>
      </c>
    </row>
    <row r="2" spans="1:94" x14ac:dyDescent="0.25">
      <c r="A2" s="44" t="s">
        <v>98</v>
      </c>
    </row>
    <row r="3" spans="1:94" x14ac:dyDescent="0.25">
      <c r="A3" s="162" t="s">
        <v>0</v>
      </c>
      <c r="B3" s="161" t="s">
        <v>1</v>
      </c>
      <c r="C3" s="161"/>
      <c r="D3" s="161"/>
      <c r="E3" s="161" t="s">
        <v>234</v>
      </c>
      <c r="F3" s="161"/>
      <c r="G3" s="161"/>
      <c r="H3" s="161" t="s">
        <v>2</v>
      </c>
      <c r="I3" s="161"/>
      <c r="J3" s="161"/>
      <c r="K3" s="161" t="s">
        <v>3</v>
      </c>
      <c r="L3" s="161"/>
      <c r="M3" s="161"/>
      <c r="N3" s="161" t="s">
        <v>243</v>
      </c>
      <c r="O3" s="161"/>
      <c r="P3" s="161"/>
      <c r="Q3" s="158" t="s">
        <v>235</v>
      </c>
      <c r="R3" s="159"/>
      <c r="S3" s="160"/>
      <c r="T3" s="158" t="s">
        <v>5</v>
      </c>
      <c r="U3" s="159"/>
      <c r="V3" s="160"/>
      <c r="W3" s="158" t="s">
        <v>4</v>
      </c>
      <c r="X3" s="159"/>
      <c r="Y3" s="160"/>
      <c r="Z3" s="158" t="s">
        <v>6</v>
      </c>
      <c r="AA3" s="159"/>
      <c r="AB3" s="160"/>
      <c r="AC3" s="158" t="s">
        <v>246</v>
      </c>
      <c r="AD3" s="159"/>
      <c r="AE3" s="160"/>
      <c r="AF3" s="158" t="s">
        <v>7</v>
      </c>
      <c r="AG3" s="159"/>
      <c r="AH3" s="160"/>
      <c r="AI3" s="158" t="s">
        <v>8</v>
      </c>
      <c r="AJ3" s="159"/>
      <c r="AK3" s="160"/>
      <c r="AL3" s="158" t="s">
        <v>9</v>
      </c>
      <c r="AM3" s="159"/>
      <c r="AN3" s="160"/>
      <c r="AO3" s="158" t="s">
        <v>242</v>
      </c>
      <c r="AP3" s="159"/>
      <c r="AQ3" s="160"/>
      <c r="AR3" s="158" t="s">
        <v>10</v>
      </c>
      <c r="AS3" s="159"/>
      <c r="AT3" s="160"/>
      <c r="AU3" s="158" t="s">
        <v>11</v>
      </c>
      <c r="AV3" s="159"/>
      <c r="AW3" s="160"/>
      <c r="AX3" s="158" t="s">
        <v>236</v>
      </c>
      <c r="AY3" s="159"/>
      <c r="AZ3" s="160"/>
      <c r="BA3" s="158" t="s">
        <v>245</v>
      </c>
      <c r="BB3" s="159"/>
      <c r="BC3" s="160"/>
      <c r="BD3" s="158" t="s">
        <v>12</v>
      </c>
      <c r="BE3" s="159"/>
      <c r="BF3" s="160"/>
      <c r="BG3" s="158" t="s">
        <v>237</v>
      </c>
      <c r="BH3" s="159"/>
      <c r="BI3" s="160"/>
      <c r="BJ3" s="158" t="s">
        <v>238</v>
      </c>
      <c r="BK3" s="159"/>
      <c r="BL3" s="160"/>
      <c r="BM3" s="158" t="s">
        <v>241</v>
      </c>
      <c r="BN3" s="159"/>
      <c r="BO3" s="160"/>
      <c r="BP3" s="161" t="s">
        <v>13</v>
      </c>
      <c r="BQ3" s="161"/>
      <c r="BR3" s="161"/>
      <c r="BS3" s="161" t="s">
        <v>14</v>
      </c>
      <c r="BT3" s="161"/>
      <c r="BU3" s="161"/>
      <c r="BV3" s="161" t="s">
        <v>15</v>
      </c>
      <c r="BW3" s="161"/>
      <c r="BX3" s="161"/>
      <c r="BY3" s="161" t="s">
        <v>16</v>
      </c>
      <c r="BZ3" s="161"/>
      <c r="CA3" s="161"/>
      <c r="CB3" s="161" t="s">
        <v>17</v>
      </c>
      <c r="CC3" s="161"/>
      <c r="CD3" s="161"/>
      <c r="CE3" s="161" t="s">
        <v>239</v>
      </c>
      <c r="CF3" s="161"/>
      <c r="CG3" s="161"/>
      <c r="CH3" s="161" t="s">
        <v>240</v>
      </c>
      <c r="CI3" s="161"/>
      <c r="CJ3" s="161"/>
      <c r="CK3" s="161" t="s">
        <v>18</v>
      </c>
      <c r="CL3" s="161"/>
      <c r="CM3" s="161"/>
      <c r="CN3" s="161" t="s">
        <v>19</v>
      </c>
      <c r="CO3" s="161"/>
      <c r="CP3" s="161"/>
    </row>
    <row r="4" spans="1:94" x14ac:dyDescent="0.25">
      <c r="A4" s="162"/>
      <c r="B4" s="83" t="s">
        <v>152</v>
      </c>
      <c r="C4" s="83" t="s">
        <v>153</v>
      </c>
      <c r="D4" s="83" t="s">
        <v>139</v>
      </c>
      <c r="E4" s="83" t="s">
        <v>152</v>
      </c>
      <c r="F4" s="83" t="s">
        <v>153</v>
      </c>
      <c r="G4" s="83" t="s">
        <v>139</v>
      </c>
      <c r="H4" s="83" t="s">
        <v>152</v>
      </c>
      <c r="I4" s="83" t="s">
        <v>153</v>
      </c>
      <c r="J4" s="83" t="s">
        <v>139</v>
      </c>
      <c r="K4" s="83" t="s">
        <v>152</v>
      </c>
      <c r="L4" s="83" t="s">
        <v>153</v>
      </c>
      <c r="M4" s="83" t="s">
        <v>139</v>
      </c>
      <c r="N4" s="83" t="s">
        <v>152</v>
      </c>
      <c r="O4" s="83" t="s">
        <v>153</v>
      </c>
      <c r="P4" s="83" t="s">
        <v>139</v>
      </c>
      <c r="Q4" s="83" t="s">
        <v>152</v>
      </c>
      <c r="R4" s="83" t="s">
        <v>153</v>
      </c>
      <c r="S4" s="83" t="s">
        <v>139</v>
      </c>
      <c r="T4" s="83" t="s">
        <v>152</v>
      </c>
      <c r="U4" s="83" t="s">
        <v>153</v>
      </c>
      <c r="V4" s="83" t="s">
        <v>139</v>
      </c>
      <c r="W4" s="83" t="s">
        <v>152</v>
      </c>
      <c r="X4" s="83" t="s">
        <v>153</v>
      </c>
      <c r="Y4" s="83" t="s">
        <v>139</v>
      </c>
      <c r="Z4" s="83" t="s">
        <v>152</v>
      </c>
      <c r="AA4" s="83" t="s">
        <v>153</v>
      </c>
      <c r="AB4" s="83" t="s">
        <v>139</v>
      </c>
      <c r="AC4" s="83" t="s">
        <v>152</v>
      </c>
      <c r="AD4" s="83" t="s">
        <v>153</v>
      </c>
      <c r="AE4" s="83" t="s">
        <v>139</v>
      </c>
      <c r="AF4" s="83" t="s">
        <v>152</v>
      </c>
      <c r="AG4" s="83" t="s">
        <v>153</v>
      </c>
      <c r="AH4" s="83" t="s">
        <v>139</v>
      </c>
      <c r="AI4" s="83" t="s">
        <v>152</v>
      </c>
      <c r="AJ4" s="83" t="s">
        <v>153</v>
      </c>
      <c r="AK4" s="83" t="s">
        <v>139</v>
      </c>
      <c r="AL4" s="83" t="s">
        <v>152</v>
      </c>
      <c r="AM4" s="83" t="s">
        <v>153</v>
      </c>
      <c r="AN4" s="83" t="s">
        <v>139</v>
      </c>
      <c r="AO4" s="83" t="s">
        <v>152</v>
      </c>
      <c r="AP4" s="83" t="s">
        <v>153</v>
      </c>
      <c r="AQ4" s="83" t="s">
        <v>139</v>
      </c>
      <c r="AR4" s="83" t="s">
        <v>152</v>
      </c>
      <c r="AS4" s="83" t="s">
        <v>153</v>
      </c>
      <c r="AT4" s="83" t="s">
        <v>139</v>
      </c>
      <c r="AU4" s="83" t="s">
        <v>152</v>
      </c>
      <c r="AV4" s="83" t="s">
        <v>153</v>
      </c>
      <c r="AW4" s="83" t="s">
        <v>139</v>
      </c>
      <c r="AX4" s="83" t="s">
        <v>152</v>
      </c>
      <c r="AY4" s="83" t="s">
        <v>153</v>
      </c>
      <c r="AZ4" s="83" t="s">
        <v>139</v>
      </c>
      <c r="BA4" s="83" t="s">
        <v>152</v>
      </c>
      <c r="BB4" s="83" t="s">
        <v>153</v>
      </c>
      <c r="BC4" s="83" t="s">
        <v>139</v>
      </c>
      <c r="BD4" s="83" t="s">
        <v>152</v>
      </c>
      <c r="BE4" s="83" t="s">
        <v>153</v>
      </c>
      <c r="BF4" s="83" t="s">
        <v>139</v>
      </c>
      <c r="BG4" s="83" t="s">
        <v>152</v>
      </c>
      <c r="BH4" s="83" t="s">
        <v>153</v>
      </c>
      <c r="BI4" s="83" t="s">
        <v>139</v>
      </c>
      <c r="BJ4" s="83" t="s">
        <v>152</v>
      </c>
      <c r="BK4" s="83" t="s">
        <v>153</v>
      </c>
      <c r="BL4" s="83" t="s">
        <v>139</v>
      </c>
      <c r="BM4" s="83" t="s">
        <v>152</v>
      </c>
      <c r="BN4" s="83" t="s">
        <v>153</v>
      </c>
      <c r="BO4" s="83" t="s">
        <v>139</v>
      </c>
      <c r="BP4" s="83" t="s">
        <v>152</v>
      </c>
      <c r="BQ4" s="83" t="s">
        <v>153</v>
      </c>
      <c r="BR4" s="83" t="s">
        <v>139</v>
      </c>
      <c r="BS4" s="83" t="s">
        <v>152</v>
      </c>
      <c r="BT4" s="83" t="s">
        <v>153</v>
      </c>
      <c r="BU4" s="83" t="s">
        <v>139</v>
      </c>
      <c r="BV4" s="83" t="s">
        <v>152</v>
      </c>
      <c r="BW4" s="83" t="s">
        <v>153</v>
      </c>
      <c r="BX4" s="83" t="s">
        <v>139</v>
      </c>
      <c r="BY4" s="83" t="s">
        <v>152</v>
      </c>
      <c r="BZ4" s="83" t="s">
        <v>153</v>
      </c>
      <c r="CA4" s="83" t="s">
        <v>139</v>
      </c>
      <c r="CB4" s="83" t="s">
        <v>152</v>
      </c>
      <c r="CC4" s="83" t="s">
        <v>153</v>
      </c>
      <c r="CD4" s="83" t="s">
        <v>139</v>
      </c>
      <c r="CE4" s="83" t="s">
        <v>152</v>
      </c>
      <c r="CF4" s="83" t="s">
        <v>153</v>
      </c>
      <c r="CG4" s="83" t="s">
        <v>139</v>
      </c>
      <c r="CH4" s="83" t="s">
        <v>152</v>
      </c>
      <c r="CI4" s="83" t="s">
        <v>153</v>
      </c>
      <c r="CJ4" s="83" t="s">
        <v>139</v>
      </c>
      <c r="CK4" s="83" t="s">
        <v>152</v>
      </c>
      <c r="CL4" s="83" t="s">
        <v>153</v>
      </c>
      <c r="CM4" s="83" t="s">
        <v>139</v>
      </c>
      <c r="CN4" s="83" t="s">
        <v>152</v>
      </c>
      <c r="CO4" s="83" t="s">
        <v>153</v>
      </c>
      <c r="CP4" s="83" t="s">
        <v>139</v>
      </c>
    </row>
    <row r="5" spans="1:94" x14ac:dyDescent="0.25">
      <c r="A5" s="45" t="s">
        <v>154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</row>
    <row r="6" spans="1:94" ht="30" x14ac:dyDescent="0.25">
      <c r="A6" s="47" t="s">
        <v>155</v>
      </c>
      <c r="B6" s="46">
        <v>12755</v>
      </c>
      <c r="C6" s="46">
        <v>28522</v>
      </c>
      <c r="D6" s="46">
        <f t="shared" ref="D6:D19" si="0">B6+C6</f>
        <v>41277</v>
      </c>
      <c r="E6" s="46">
        <v>12631</v>
      </c>
      <c r="F6" s="46">
        <v>38074</v>
      </c>
      <c r="G6" s="46">
        <f>F6+E6</f>
        <v>50705</v>
      </c>
      <c r="H6" s="46">
        <v>66826</v>
      </c>
      <c r="I6" s="46">
        <v>246807</v>
      </c>
      <c r="J6" s="46">
        <f t="shared" ref="J6:J19" si="1">I6+H6</f>
        <v>313633</v>
      </c>
      <c r="K6" s="46">
        <v>270619</v>
      </c>
      <c r="L6" s="46">
        <v>988913</v>
      </c>
      <c r="M6" s="46">
        <f>L6+K6</f>
        <v>1259532</v>
      </c>
      <c r="N6" s="46">
        <v>23134</v>
      </c>
      <c r="O6" s="46">
        <v>54214</v>
      </c>
      <c r="P6" s="46">
        <f>O6+N6</f>
        <v>77348</v>
      </c>
      <c r="Q6" s="46">
        <v>95396</v>
      </c>
      <c r="R6" s="46">
        <v>664266</v>
      </c>
      <c r="S6" s="46">
        <f>R6+Q6</f>
        <v>759662</v>
      </c>
      <c r="T6" s="46">
        <v>230074.27</v>
      </c>
      <c r="U6" s="46">
        <v>281201.89</v>
      </c>
      <c r="V6" s="46">
        <f>U6+T6</f>
        <v>511276.16000000003</v>
      </c>
      <c r="W6" s="46">
        <v>3016</v>
      </c>
      <c r="X6" s="46">
        <v>6298</v>
      </c>
      <c r="Y6" s="46">
        <f>X6+W6</f>
        <v>9314</v>
      </c>
      <c r="Z6" s="46">
        <v>64044.24</v>
      </c>
      <c r="AA6" s="46">
        <v>215081.9</v>
      </c>
      <c r="AB6" s="46">
        <f>AA6+Z6</f>
        <v>279126.14</v>
      </c>
      <c r="AC6" s="46">
        <v>74344</v>
      </c>
      <c r="AD6" s="46">
        <v>315680</v>
      </c>
      <c r="AE6" s="46">
        <f>AD6+AC6</f>
        <v>390024</v>
      </c>
      <c r="AF6" s="46">
        <v>90785</v>
      </c>
      <c r="AG6" s="46">
        <v>329335</v>
      </c>
      <c r="AH6" s="46">
        <f>AG6+AF6</f>
        <v>420120</v>
      </c>
      <c r="AI6" s="46">
        <v>338819</v>
      </c>
      <c r="AJ6" s="46">
        <v>1160905</v>
      </c>
      <c r="AK6" s="46">
        <f>AJ6+AI6</f>
        <v>1499724</v>
      </c>
      <c r="AL6" s="46">
        <v>109249</v>
      </c>
      <c r="AM6" s="46">
        <v>393293</v>
      </c>
      <c r="AN6" s="46">
        <f>AM6+AL6</f>
        <v>502542</v>
      </c>
      <c r="AO6" s="46">
        <v>19266</v>
      </c>
      <c r="AP6" s="46">
        <v>68248</v>
      </c>
      <c r="AQ6" s="46">
        <f>AO6+AP6</f>
        <v>87514</v>
      </c>
      <c r="AR6" s="46">
        <v>17210</v>
      </c>
      <c r="AS6" s="46">
        <v>44337</v>
      </c>
      <c r="AT6" s="46">
        <f>AS6+AR6</f>
        <v>61547</v>
      </c>
      <c r="AU6" s="46">
        <v>16180.23</v>
      </c>
      <c r="AV6" s="46">
        <v>121708.16</v>
      </c>
      <c r="AW6" s="46">
        <f>AV6+AU6</f>
        <v>137888.39000000001</v>
      </c>
      <c r="AX6" s="46">
        <v>6843.1</v>
      </c>
      <c r="AY6" s="46">
        <v>11006.01</v>
      </c>
      <c r="AZ6" s="46">
        <f>AY6+AX6</f>
        <v>17849.11</v>
      </c>
      <c r="BA6" s="46">
        <v>18975</v>
      </c>
      <c r="BB6" s="46">
        <v>26697</v>
      </c>
      <c r="BC6" s="46">
        <f>BB6+BA6</f>
        <v>45672</v>
      </c>
      <c r="BD6" s="46">
        <v>370.39</v>
      </c>
      <c r="BE6" s="46">
        <v>1045482.74</v>
      </c>
      <c r="BF6" s="46">
        <f>BE6+BD6</f>
        <v>1045853.13</v>
      </c>
      <c r="BG6" s="46">
        <v>3972</v>
      </c>
      <c r="BH6" s="46">
        <v>11816</v>
      </c>
      <c r="BI6" s="46">
        <f>BH6+BG6</f>
        <v>15788</v>
      </c>
      <c r="BJ6" s="46">
        <v>6751</v>
      </c>
      <c r="BK6" s="46">
        <v>21665</v>
      </c>
      <c r="BL6" s="46">
        <f t="shared" ref="BL6:BL19" si="2">BK6+BJ6</f>
        <v>28416</v>
      </c>
      <c r="BM6" s="46">
        <v>58744</v>
      </c>
      <c r="BN6" s="46">
        <v>310062</v>
      </c>
      <c r="BO6" s="46">
        <f>BN6+BM6</f>
        <v>368806</v>
      </c>
      <c r="BP6" s="46">
        <v>49759</v>
      </c>
      <c r="BQ6" s="46">
        <v>230509</v>
      </c>
      <c r="BR6" s="46">
        <f>BQ6+BP6</f>
        <v>280268</v>
      </c>
      <c r="BS6" s="46">
        <v>64346</v>
      </c>
      <c r="BT6" s="46">
        <v>177097</v>
      </c>
      <c r="BU6" s="46">
        <f>BT6+BS6</f>
        <v>241443</v>
      </c>
      <c r="BV6" s="46">
        <v>76676</v>
      </c>
      <c r="BW6" s="46">
        <v>287056</v>
      </c>
      <c r="BX6" s="46">
        <f t="shared" ref="BX6:BX19" si="3">BW6+BV6</f>
        <v>363732</v>
      </c>
      <c r="BY6" s="46">
        <v>130363</v>
      </c>
      <c r="BZ6" s="46">
        <v>185952</v>
      </c>
      <c r="CA6" s="46">
        <f>BZ6+BY6</f>
        <v>316315</v>
      </c>
      <c r="CB6" s="46">
        <v>131287</v>
      </c>
      <c r="CC6" s="46">
        <v>613229</v>
      </c>
      <c r="CD6" s="46">
        <f>CC6+CB6</f>
        <v>744516</v>
      </c>
      <c r="CE6" s="46">
        <v>940651</v>
      </c>
      <c r="CF6" s="46">
        <v>2038329</v>
      </c>
      <c r="CG6" s="46">
        <f>CF6+CE6</f>
        <v>2978980</v>
      </c>
      <c r="CH6" s="46">
        <v>22132</v>
      </c>
      <c r="CI6" s="46">
        <v>1200653</v>
      </c>
      <c r="CJ6" s="46">
        <f t="shared" ref="CJ6:CJ19" si="4">CI6+CH6</f>
        <v>1222785</v>
      </c>
      <c r="CK6" s="46">
        <v>145149</v>
      </c>
      <c r="CL6" s="46">
        <v>1464040</v>
      </c>
      <c r="CM6" s="46">
        <f>CL6+CK6</f>
        <v>1609189</v>
      </c>
      <c r="CN6" s="46">
        <v>32507</v>
      </c>
      <c r="CO6" s="46">
        <v>104064</v>
      </c>
      <c r="CP6" s="46">
        <f t="shared" ref="CP6:CP19" si="5">CO6+CN6</f>
        <v>136571</v>
      </c>
    </row>
    <row r="7" spans="1:94" ht="15" customHeight="1" x14ac:dyDescent="0.25">
      <c r="A7" s="47" t="s">
        <v>156</v>
      </c>
      <c r="B7" s="46"/>
      <c r="C7" s="46"/>
      <c r="D7" s="46">
        <f t="shared" si="0"/>
        <v>0</v>
      </c>
      <c r="E7" s="46">
        <v>13143</v>
      </c>
      <c r="F7" s="46">
        <v>40405</v>
      </c>
      <c r="G7" s="46">
        <f t="shared" ref="G7:G19" si="6">F7+E7</f>
        <v>53548</v>
      </c>
      <c r="H7" s="46">
        <v>137764</v>
      </c>
      <c r="I7" s="46">
        <v>508800</v>
      </c>
      <c r="J7" s="46">
        <f t="shared" si="1"/>
        <v>646564</v>
      </c>
      <c r="K7" s="46">
        <v>819</v>
      </c>
      <c r="L7" s="46">
        <v>495</v>
      </c>
      <c r="M7" s="46">
        <f t="shared" ref="M7:M19" si="7">L7+K7</f>
        <v>1314</v>
      </c>
      <c r="N7" s="46">
        <v>1529</v>
      </c>
      <c r="O7" s="46">
        <v>8549</v>
      </c>
      <c r="P7" s="46">
        <f t="shared" ref="P7:P19" si="8">O7+N7</f>
        <v>10078</v>
      </c>
      <c r="Q7" s="46"/>
      <c r="R7" s="46"/>
      <c r="S7" s="46">
        <f t="shared" ref="S7:S19" si="9">R7+Q7</f>
        <v>0</v>
      </c>
      <c r="T7" s="46">
        <v>20982.92</v>
      </c>
      <c r="U7" s="46">
        <v>25645.79</v>
      </c>
      <c r="V7" s="46">
        <f t="shared" ref="V7:V19" si="10">U7+T7</f>
        <v>46628.71</v>
      </c>
      <c r="W7" s="46"/>
      <c r="X7" s="46">
        <v>2139</v>
      </c>
      <c r="Y7" s="46">
        <f t="shared" ref="Y7:Y19" si="11">X7+W7</f>
        <v>2139</v>
      </c>
      <c r="Z7" s="46"/>
      <c r="AA7" s="46"/>
      <c r="AB7" s="46">
        <f t="shared" ref="AB7:AB19" si="12">AA7+Z7</f>
        <v>0</v>
      </c>
      <c r="AC7" s="46"/>
      <c r="AD7" s="46">
        <v>23110</v>
      </c>
      <c r="AE7" s="46">
        <f t="shared" ref="AE7:AE19" si="13">AD7+AC7</f>
        <v>23110</v>
      </c>
      <c r="AF7" s="46">
        <v>71206</v>
      </c>
      <c r="AG7" s="46">
        <v>258310</v>
      </c>
      <c r="AH7" s="46">
        <f t="shared" ref="AH7:AH19" si="14">AG7+AF7</f>
        <v>329516</v>
      </c>
      <c r="AI7" s="46"/>
      <c r="AJ7" s="46"/>
      <c r="AK7" s="46">
        <f t="shared" ref="AK7:AK19" si="15">AJ7+AI7</f>
        <v>0</v>
      </c>
      <c r="AL7" s="46"/>
      <c r="AM7" s="46"/>
      <c r="AN7" s="46">
        <f t="shared" ref="AN7:AN19" si="16">AM7+AL7</f>
        <v>0</v>
      </c>
      <c r="AO7" s="46"/>
      <c r="AP7" s="46"/>
      <c r="AQ7" s="46">
        <f t="shared" ref="AQ7:AQ18" si="17">AO7+AP7</f>
        <v>0</v>
      </c>
      <c r="AR7" s="46">
        <v>15557</v>
      </c>
      <c r="AS7" s="46">
        <v>40080</v>
      </c>
      <c r="AT7" s="46">
        <f t="shared" ref="AT7:AT19" si="18">AS7+AR7</f>
        <v>55637</v>
      </c>
      <c r="AU7" s="46">
        <v>6174.76</v>
      </c>
      <c r="AV7" s="46">
        <v>46446.7</v>
      </c>
      <c r="AW7" s="46">
        <f t="shared" ref="AW7:AW19" si="19">AV7+AU7</f>
        <v>52621.46</v>
      </c>
      <c r="AX7" s="46">
        <v>6389.06</v>
      </c>
      <c r="AY7" s="46">
        <v>11500.14</v>
      </c>
      <c r="AZ7" s="46">
        <f t="shared" ref="AZ7:AZ19" si="20">AY7+AX7</f>
        <v>17889.2</v>
      </c>
      <c r="BA7" s="46">
        <v>8487</v>
      </c>
      <c r="BB7" s="46">
        <v>8076</v>
      </c>
      <c r="BC7" s="46">
        <f t="shared" ref="BC7:BC19" si="21">BB7+BA7</f>
        <v>16563</v>
      </c>
      <c r="BD7" s="46">
        <v>0.99</v>
      </c>
      <c r="BE7" s="46">
        <v>2782.26</v>
      </c>
      <c r="BF7" s="46">
        <f t="shared" ref="BF7:BF19" si="22">BE7+BD7</f>
        <v>2783.25</v>
      </c>
      <c r="BG7" s="46">
        <v>535</v>
      </c>
      <c r="BH7" s="46">
        <v>7270</v>
      </c>
      <c r="BI7" s="46">
        <f t="shared" ref="BI7:BI19" si="23">BH7+BG7</f>
        <v>7805</v>
      </c>
      <c r="BJ7" s="46"/>
      <c r="BK7" s="46"/>
      <c r="BL7" s="46">
        <f t="shared" si="2"/>
        <v>0</v>
      </c>
      <c r="BM7" s="46">
        <v>46018</v>
      </c>
      <c r="BN7" s="46">
        <v>242893</v>
      </c>
      <c r="BO7" s="46">
        <f t="shared" ref="BO7:BO19" si="24">BN7+BM7</f>
        <v>288911</v>
      </c>
      <c r="BP7" s="46"/>
      <c r="BQ7" s="46"/>
      <c r="BR7" s="46">
        <f t="shared" ref="BR7:BR19" si="25">BQ7+BP7</f>
        <v>0</v>
      </c>
      <c r="BS7" s="46">
        <v>10119</v>
      </c>
      <c r="BT7" s="46">
        <v>98391</v>
      </c>
      <c r="BU7" s="46">
        <f t="shared" ref="BU7:BU19" si="26">BT7+BS7</f>
        <v>108510</v>
      </c>
      <c r="BV7" s="46">
        <v>1791</v>
      </c>
      <c r="BW7" s="46"/>
      <c r="BX7" s="46">
        <f t="shared" si="3"/>
        <v>1791</v>
      </c>
      <c r="BY7" s="46">
        <v>107576</v>
      </c>
      <c r="BZ7" s="46">
        <v>153449</v>
      </c>
      <c r="CA7" s="46">
        <f t="shared" ref="CA7:CA19" si="27">BZ7+BY7</f>
        <v>261025</v>
      </c>
      <c r="CB7" s="46"/>
      <c r="CC7" s="46"/>
      <c r="CD7" s="46">
        <f t="shared" ref="CD7:CD19" si="28">CC7+CB7</f>
        <v>0</v>
      </c>
      <c r="CE7" s="46"/>
      <c r="CF7" s="46"/>
      <c r="CG7" s="46">
        <f t="shared" ref="CG7:CG19" si="29">CF7+CE7</f>
        <v>0</v>
      </c>
      <c r="CH7" s="46">
        <v>119</v>
      </c>
      <c r="CI7" s="46">
        <v>6474</v>
      </c>
      <c r="CJ7" s="46">
        <f t="shared" si="4"/>
        <v>6593</v>
      </c>
      <c r="CK7" s="46"/>
      <c r="CL7" s="46"/>
      <c r="CM7" s="46">
        <f t="shared" ref="CM7:CM19" si="30">CL7+CK7</f>
        <v>0</v>
      </c>
      <c r="CN7" s="46">
        <v>324</v>
      </c>
      <c r="CO7" s="46">
        <v>1037</v>
      </c>
      <c r="CP7" s="46">
        <f t="shared" si="5"/>
        <v>1361</v>
      </c>
    </row>
    <row r="8" spans="1:94" ht="15" customHeight="1" x14ac:dyDescent="0.25">
      <c r="A8" s="47" t="s">
        <v>157</v>
      </c>
      <c r="B8" s="46"/>
      <c r="C8" s="46"/>
      <c r="D8" s="46">
        <f t="shared" si="0"/>
        <v>0</v>
      </c>
      <c r="E8" s="46"/>
      <c r="F8" s="46"/>
      <c r="G8" s="46">
        <f t="shared" si="6"/>
        <v>0</v>
      </c>
      <c r="H8" s="46"/>
      <c r="I8" s="46"/>
      <c r="J8" s="46">
        <f t="shared" si="1"/>
        <v>0</v>
      </c>
      <c r="K8" s="46"/>
      <c r="L8" s="46"/>
      <c r="M8" s="46">
        <f t="shared" si="7"/>
        <v>0</v>
      </c>
      <c r="N8" s="46"/>
      <c r="O8" s="46"/>
      <c r="P8" s="46">
        <f t="shared" si="8"/>
        <v>0</v>
      </c>
      <c r="Q8" s="46"/>
      <c r="R8" s="46"/>
      <c r="S8" s="46">
        <f t="shared" si="9"/>
        <v>0</v>
      </c>
      <c r="T8" s="46"/>
      <c r="U8" s="46"/>
      <c r="V8" s="46">
        <f t="shared" si="10"/>
        <v>0</v>
      </c>
      <c r="W8" s="46"/>
      <c r="X8" s="46"/>
      <c r="Y8" s="46">
        <f t="shared" si="11"/>
        <v>0</v>
      </c>
      <c r="Z8" s="46"/>
      <c r="AA8" s="46"/>
      <c r="AB8" s="46">
        <f t="shared" si="12"/>
        <v>0</v>
      </c>
      <c r="AC8" s="46"/>
      <c r="AD8" s="46"/>
      <c r="AE8" s="46">
        <f t="shared" si="13"/>
        <v>0</v>
      </c>
      <c r="AF8" s="46"/>
      <c r="AG8" s="46"/>
      <c r="AH8" s="46">
        <f t="shared" si="14"/>
        <v>0</v>
      </c>
      <c r="AI8" s="46"/>
      <c r="AJ8" s="46"/>
      <c r="AK8" s="46">
        <f t="shared" si="15"/>
        <v>0</v>
      </c>
      <c r="AL8" s="46"/>
      <c r="AM8" s="46"/>
      <c r="AN8" s="46">
        <f t="shared" si="16"/>
        <v>0</v>
      </c>
      <c r="AO8" s="46"/>
      <c r="AP8" s="46"/>
      <c r="AQ8" s="46">
        <f t="shared" si="17"/>
        <v>0</v>
      </c>
      <c r="AR8" s="46"/>
      <c r="AS8" s="46"/>
      <c r="AT8" s="46">
        <f t="shared" si="18"/>
        <v>0</v>
      </c>
      <c r="AU8" s="46"/>
      <c r="AV8" s="46"/>
      <c r="AW8" s="46">
        <f t="shared" si="19"/>
        <v>0</v>
      </c>
      <c r="AX8" s="46"/>
      <c r="AY8" s="46"/>
      <c r="AZ8" s="46">
        <f t="shared" si="20"/>
        <v>0</v>
      </c>
      <c r="BA8" s="46"/>
      <c r="BB8" s="46"/>
      <c r="BC8" s="46">
        <f t="shared" si="21"/>
        <v>0</v>
      </c>
      <c r="BD8" s="46"/>
      <c r="BE8" s="46"/>
      <c r="BF8" s="46">
        <f t="shared" si="22"/>
        <v>0</v>
      </c>
      <c r="BG8" s="46"/>
      <c r="BH8" s="46"/>
      <c r="BI8" s="46">
        <f t="shared" si="23"/>
        <v>0</v>
      </c>
      <c r="BJ8" s="46"/>
      <c r="BK8" s="46"/>
      <c r="BL8" s="46">
        <f t="shared" si="2"/>
        <v>0</v>
      </c>
      <c r="BM8" s="46"/>
      <c r="BN8" s="46"/>
      <c r="BO8" s="46">
        <f t="shared" si="24"/>
        <v>0</v>
      </c>
      <c r="BP8" s="46"/>
      <c r="BQ8" s="46"/>
      <c r="BR8" s="46">
        <f t="shared" si="25"/>
        <v>0</v>
      </c>
      <c r="BS8" s="46"/>
      <c r="BT8" s="46"/>
      <c r="BU8" s="46">
        <f t="shared" si="26"/>
        <v>0</v>
      </c>
      <c r="BV8" s="46"/>
      <c r="BW8" s="46"/>
      <c r="BX8" s="46">
        <f t="shared" si="3"/>
        <v>0</v>
      </c>
      <c r="BY8" s="46"/>
      <c r="BZ8" s="46"/>
      <c r="CA8" s="46">
        <f t="shared" si="27"/>
        <v>0</v>
      </c>
      <c r="CB8" s="46"/>
      <c r="CC8" s="46"/>
      <c r="CD8" s="46">
        <f t="shared" si="28"/>
        <v>0</v>
      </c>
      <c r="CE8" s="46"/>
      <c r="CF8" s="46"/>
      <c r="CG8" s="46">
        <f t="shared" si="29"/>
        <v>0</v>
      </c>
      <c r="CH8" s="46"/>
      <c r="CI8" s="46"/>
      <c r="CJ8" s="46">
        <f t="shared" si="4"/>
        <v>0</v>
      </c>
      <c r="CK8" s="46"/>
      <c r="CL8" s="46"/>
      <c r="CM8" s="46">
        <f t="shared" si="30"/>
        <v>0</v>
      </c>
      <c r="CN8" s="46"/>
      <c r="CO8" s="46"/>
      <c r="CP8" s="46">
        <f t="shared" si="5"/>
        <v>0</v>
      </c>
    </row>
    <row r="9" spans="1:94" ht="15" customHeight="1" x14ac:dyDescent="0.25">
      <c r="A9" s="47" t="s">
        <v>158</v>
      </c>
      <c r="B9" s="46"/>
      <c r="C9" s="46"/>
      <c r="D9" s="46">
        <f t="shared" si="0"/>
        <v>0</v>
      </c>
      <c r="E9" s="46"/>
      <c r="F9" s="46"/>
      <c r="G9" s="46">
        <f t="shared" si="6"/>
        <v>0</v>
      </c>
      <c r="H9" s="46"/>
      <c r="I9" s="46"/>
      <c r="J9" s="46">
        <f t="shared" si="1"/>
        <v>0</v>
      </c>
      <c r="K9" s="46"/>
      <c r="L9" s="46"/>
      <c r="M9" s="46">
        <f t="shared" si="7"/>
        <v>0</v>
      </c>
      <c r="N9" s="46"/>
      <c r="O9" s="46"/>
      <c r="P9" s="46">
        <f t="shared" si="8"/>
        <v>0</v>
      </c>
      <c r="Q9" s="46"/>
      <c r="R9" s="46"/>
      <c r="S9" s="46">
        <f t="shared" si="9"/>
        <v>0</v>
      </c>
      <c r="T9" s="46"/>
      <c r="U9" s="46"/>
      <c r="V9" s="46">
        <f t="shared" si="10"/>
        <v>0</v>
      </c>
      <c r="W9" s="46"/>
      <c r="X9" s="46"/>
      <c r="Y9" s="46">
        <f t="shared" si="11"/>
        <v>0</v>
      </c>
      <c r="Z9" s="46"/>
      <c r="AA9" s="46"/>
      <c r="AB9" s="46">
        <f t="shared" si="12"/>
        <v>0</v>
      </c>
      <c r="AC9" s="46"/>
      <c r="AD9" s="46"/>
      <c r="AE9" s="46">
        <f t="shared" si="13"/>
        <v>0</v>
      </c>
      <c r="AF9" s="46"/>
      <c r="AG9" s="46"/>
      <c r="AH9" s="46">
        <f t="shared" si="14"/>
        <v>0</v>
      </c>
      <c r="AI9" s="46"/>
      <c r="AJ9" s="46"/>
      <c r="AK9" s="46">
        <f t="shared" si="15"/>
        <v>0</v>
      </c>
      <c r="AL9" s="46"/>
      <c r="AM9" s="46"/>
      <c r="AN9" s="46">
        <f t="shared" si="16"/>
        <v>0</v>
      </c>
      <c r="AO9" s="46"/>
      <c r="AP9" s="46"/>
      <c r="AQ9" s="46">
        <f t="shared" si="17"/>
        <v>0</v>
      </c>
      <c r="AR9" s="46"/>
      <c r="AS9" s="46"/>
      <c r="AT9" s="46">
        <f t="shared" si="18"/>
        <v>0</v>
      </c>
      <c r="AU9" s="46"/>
      <c r="AV9" s="46"/>
      <c r="AW9" s="46">
        <f t="shared" si="19"/>
        <v>0</v>
      </c>
      <c r="AX9" s="46"/>
      <c r="AY9" s="46"/>
      <c r="AZ9" s="46">
        <f t="shared" si="20"/>
        <v>0</v>
      </c>
      <c r="BA9" s="46"/>
      <c r="BB9" s="46"/>
      <c r="BC9" s="46">
        <f t="shared" si="21"/>
        <v>0</v>
      </c>
      <c r="BD9" s="46"/>
      <c r="BE9" s="46"/>
      <c r="BF9" s="46">
        <f t="shared" si="22"/>
        <v>0</v>
      </c>
      <c r="BG9" s="46"/>
      <c r="BH9" s="46"/>
      <c r="BI9" s="46">
        <f t="shared" si="23"/>
        <v>0</v>
      </c>
      <c r="BJ9" s="46"/>
      <c r="BK9" s="46"/>
      <c r="BL9" s="46">
        <f t="shared" si="2"/>
        <v>0</v>
      </c>
      <c r="BM9" s="46"/>
      <c r="BN9" s="46"/>
      <c r="BO9" s="46">
        <f t="shared" si="24"/>
        <v>0</v>
      </c>
      <c r="BP9" s="46"/>
      <c r="BQ9" s="46"/>
      <c r="BR9" s="46">
        <f t="shared" si="25"/>
        <v>0</v>
      </c>
      <c r="BS9" s="46"/>
      <c r="BT9" s="46"/>
      <c r="BU9" s="46">
        <f t="shared" si="26"/>
        <v>0</v>
      </c>
      <c r="BV9" s="46"/>
      <c r="BW9" s="46"/>
      <c r="BX9" s="46">
        <f t="shared" si="3"/>
        <v>0</v>
      </c>
      <c r="BY9" s="46"/>
      <c r="BZ9" s="46"/>
      <c r="CA9" s="46">
        <f t="shared" si="27"/>
        <v>0</v>
      </c>
      <c r="CB9" s="46"/>
      <c r="CC9" s="46"/>
      <c r="CD9" s="46">
        <f t="shared" si="28"/>
        <v>0</v>
      </c>
      <c r="CE9" s="46"/>
      <c r="CF9" s="46"/>
      <c r="CG9" s="46">
        <f t="shared" si="29"/>
        <v>0</v>
      </c>
      <c r="CH9" s="46"/>
      <c r="CI9" s="46"/>
      <c r="CJ9" s="46">
        <f t="shared" si="4"/>
        <v>0</v>
      </c>
      <c r="CK9" s="46"/>
      <c r="CL9" s="46"/>
      <c r="CM9" s="46">
        <f t="shared" si="30"/>
        <v>0</v>
      </c>
      <c r="CN9" s="46"/>
      <c r="CO9" s="46"/>
      <c r="CP9" s="46">
        <f t="shared" si="5"/>
        <v>0</v>
      </c>
    </row>
    <row r="10" spans="1:94" ht="15" customHeight="1" x14ac:dyDescent="0.25">
      <c r="A10" s="47" t="s">
        <v>159</v>
      </c>
      <c r="B10" s="46"/>
      <c r="C10" s="46"/>
      <c r="D10" s="46">
        <f t="shared" si="0"/>
        <v>0</v>
      </c>
      <c r="E10" s="46"/>
      <c r="F10" s="46"/>
      <c r="G10" s="46">
        <f t="shared" si="6"/>
        <v>0</v>
      </c>
      <c r="H10" s="46">
        <v>4117</v>
      </c>
      <c r="I10" s="46">
        <v>15204</v>
      </c>
      <c r="J10" s="46">
        <f t="shared" si="1"/>
        <v>19321</v>
      </c>
      <c r="K10" s="46">
        <v>49576</v>
      </c>
      <c r="L10" s="46">
        <v>115678</v>
      </c>
      <c r="M10" s="46">
        <f t="shared" si="7"/>
        <v>165254</v>
      </c>
      <c r="N10" s="46">
        <v>2253</v>
      </c>
      <c r="O10" s="46"/>
      <c r="P10" s="46">
        <f t="shared" si="8"/>
        <v>2253</v>
      </c>
      <c r="Q10" s="46">
        <v>2002</v>
      </c>
      <c r="R10" s="46">
        <v>13943</v>
      </c>
      <c r="S10" s="46">
        <f t="shared" si="9"/>
        <v>15945</v>
      </c>
      <c r="T10" s="46">
        <v>83146.100000000006</v>
      </c>
      <c r="U10" s="46">
        <v>101623.01</v>
      </c>
      <c r="V10" s="46">
        <f t="shared" si="10"/>
        <v>184769.11</v>
      </c>
      <c r="W10" s="46"/>
      <c r="X10" s="46"/>
      <c r="Y10" s="46">
        <f t="shared" si="11"/>
        <v>0</v>
      </c>
      <c r="Z10" s="46"/>
      <c r="AA10" s="46"/>
      <c r="AB10" s="46">
        <f t="shared" si="12"/>
        <v>0</v>
      </c>
      <c r="AC10" s="46">
        <v>17518</v>
      </c>
      <c r="AD10" s="46"/>
      <c r="AE10" s="46">
        <f t="shared" si="13"/>
        <v>17518</v>
      </c>
      <c r="AF10" s="46">
        <v>18471</v>
      </c>
      <c r="AG10" s="46">
        <v>67006</v>
      </c>
      <c r="AH10" s="46">
        <f t="shared" si="14"/>
        <v>85477</v>
      </c>
      <c r="AI10" s="46">
        <v>90464</v>
      </c>
      <c r="AJ10" s="46">
        <v>298391</v>
      </c>
      <c r="AK10" s="46">
        <f t="shared" si="15"/>
        <v>388855</v>
      </c>
      <c r="AL10" s="46">
        <v>151</v>
      </c>
      <c r="AM10" s="46">
        <v>546</v>
      </c>
      <c r="AN10" s="46">
        <f t="shared" si="16"/>
        <v>697</v>
      </c>
      <c r="AO10" s="46"/>
      <c r="AP10" s="46"/>
      <c r="AQ10" s="46">
        <f t="shared" si="17"/>
        <v>0</v>
      </c>
      <c r="AR10" s="46"/>
      <c r="AS10" s="46"/>
      <c r="AT10" s="46">
        <f t="shared" si="18"/>
        <v>0</v>
      </c>
      <c r="AU10" s="46"/>
      <c r="AV10" s="46"/>
      <c r="AW10" s="46">
        <f t="shared" si="19"/>
        <v>0</v>
      </c>
      <c r="AX10" s="46"/>
      <c r="AY10" s="46"/>
      <c r="AZ10" s="46">
        <f t="shared" si="20"/>
        <v>0</v>
      </c>
      <c r="BA10" s="46"/>
      <c r="BB10" s="46"/>
      <c r="BC10" s="46">
        <f t="shared" si="21"/>
        <v>0</v>
      </c>
      <c r="BD10" s="46">
        <v>372.83</v>
      </c>
      <c r="BE10" s="46">
        <v>1052378.08</v>
      </c>
      <c r="BF10" s="46">
        <f t="shared" si="22"/>
        <v>1052750.9100000001</v>
      </c>
      <c r="BG10" s="46"/>
      <c r="BH10" s="46"/>
      <c r="BI10" s="46">
        <f t="shared" si="23"/>
        <v>0</v>
      </c>
      <c r="BJ10" s="46"/>
      <c r="BK10" s="46"/>
      <c r="BL10" s="46">
        <f t="shared" si="2"/>
        <v>0</v>
      </c>
      <c r="BM10" s="46"/>
      <c r="BN10" s="46"/>
      <c r="BO10" s="46">
        <f t="shared" si="24"/>
        <v>0</v>
      </c>
      <c r="BP10" s="46"/>
      <c r="BQ10" s="46"/>
      <c r="BR10" s="46">
        <f t="shared" si="25"/>
        <v>0</v>
      </c>
      <c r="BS10" s="46">
        <v>77651</v>
      </c>
      <c r="BT10" s="46"/>
      <c r="BU10" s="46">
        <f t="shared" si="26"/>
        <v>77651</v>
      </c>
      <c r="BV10" s="46">
        <v>16980</v>
      </c>
      <c r="BW10" s="46"/>
      <c r="BX10" s="46">
        <f t="shared" si="3"/>
        <v>16980</v>
      </c>
      <c r="BY10" s="46"/>
      <c r="BZ10" s="46"/>
      <c r="CA10" s="46">
        <f t="shared" si="27"/>
        <v>0</v>
      </c>
      <c r="CB10" s="46">
        <v>29171</v>
      </c>
      <c r="CC10" s="46">
        <v>136255</v>
      </c>
      <c r="CD10" s="46">
        <f t="shared" si="28"/>
        <v>165426</v>
      </c>
      <c r="CE10" s="46">
        <v>712597</v>
      </c>
      <c r="CF10" s="46">
        <v>1685440</v>
      </c>
      <c r="CG10" s="46">
        <f t="shared" si="29"/>
        <v>2398037</v>
      </c>
      <c r="CH10" s="46">
        <v>10958</v>
      </c>
      <c r="CI10" s="46">
        <v>594458</v>
      </c>
      <c r="CJ10" s="46">
        <f t="shared" si="4"/>
        <v>605416</v>
      </c>
      <c r="CK10" s="46">
        <v>76796</v>
      </c>
      <c r="CL10" s="46">
        <v>774597</v>
      </c>
      <c r="CM10" s="46">
        <f t="shared" si="30"/>
        <v>851393</v>
      </c>
      <c r="CN10" s="46"/>
      <c r="CO10" s="46"/>
      <c r="CP10" s="46">
        <f t="shared" si="5"/>
        <v>0</v>
      </c>
    </row>
    <row r="11" spans="1:94" ht="15" customHeight="1" x14ac:dyDescent="0.25">
      <c r="A11" s="47" t="s">
        <v>160</v>
      </c>
      <c r="B11" s="46"/>
      <c r="C11" s="46"/>
      <c r="D11" s="46">
        <f t="shared" si="0"/>
        <v>0</v>
      </c>
      <c r="E11" s="46"/>
      <c r="F11" s="46"/>
      <c r="G11" s="46">
        <f t="shared" si="6"/>
        <v>0</v>
      </c>
      <c r="H11" s="46">
        <v>0</v>
      </c>
      <c r="I11" s="46">
        <v>0</v>
      </c>
      <c r="J11" s="46">
        <f t="shared" si="1"/>
        <v>0</v>
      </c>
      <c r="K11" s="46"/>
      <c r="L11" s="46">
        <v>3299</v>
      </c>
      <c r="M11" s="46">
        <f t="shared" si="7"/>
        <v>3299</v>
      </c>
      <c r="N11" s="46"/>
      <c r="O11" s="46"/>
      <c r="P11" s="46">
        <f t="shared" si="8"/>
        <v>0</v>
      </c>
      <c r="Q11" s="46"/>
      <c r="R11" s="46"/>
      <c r="S11" s="46">
        <f t="shared" si="9"/>
        <v>0</v>
      </c>
      <c r="T11" s="46"/>
      <c r="U11" s="46"/>
      <c r="V11" s="46">
        <f t="shared" si="10"/>
        <v>0</v>
      </c>
      <c r="W11" s="46"/>
      <c r="X11" s="46"/>
      <c r="Y11" s="46">
        <f t="shared" si="11"/>
        <v>0</v>
      </c>
      <c r="Z11" s="46"/>
      <c r="AA11" s="46"/>
      <c r="AB11" s="46">
        <f t="shared" si="12"/>
        <v>0</v>
      </c>
      <c r="AC11" s="46"/>
      <c r="AD11" s="46"/>
      <c r="AE11" s="46">
        <f t="shared" si="13"/>
        <v>0</v>
      </c>
      <c r="AF11" s="46"/>
      <c r="AG11" s="46"/>
      <c r="AH11" s="46">
        <f t="shared" si="14"/>
        <v>0</v>
      </c>
      <c r="AI11" s="46">
        <v>768</v>
      </c>
      <c r="AJ11" s="46">
        <v>2532</v>
      </c>
      <c r="AK11" s="46">
        <f t="shared" si="15"/>
        <v>3300</v>
      </c>
      <c r="AL11" s="46"/>
      <c r="AM11" s="46"/>
      <c r="AN11" s="46">
        <f t="shared" si="16"/>
        <v>0</v>
      </c>
      <c r="AO11" s="46"/>
      <c r="AP11" s="46"/>
      <c r="AQ11" s="46">
        <f t="shared" si="17"/>
        <v>0</v>
      </c>
      <c r="AR11" s="46"/>
      <c r="AS11" s="46"/>
      <c r="AT11" s="46">
        <f t="shared" si="18"/>
        <v>0</v>
      </c>
      <c r="AU11" s="46"/>
      <c r="AV11" s="46"/>
      <c r="AW11" s="46">
        <f t="shared" si="19"/>
        <v>0</v>
      </c>
      <c r="AX11" s="46"/>
      <c r="AY11" s="46"/>
      <c r="AZ11" s="46">
        <f t="shared" si="20"/>
        <v>0</v>
      </c>
      <c r="BA11" s="46"/>
      <c r="BB11" s="46"/>
      <c r="BC11" s="46">
        <f t="shared" si="21"/>
        <v>0</v>
      </c>
      <c r="BD11" s="46">
        <v>0.01</v>
      </c>
      <c r="BE11" s="46">
        <v>25.64</v>
      </c>
      <c r="BF11" s="46">
        <f t="shared" si="22"/>
        <v>25.650000000000002</v>
      </c>
      <c r="BG11" s="46"/>
      <c r="BH11" s="46"/>
      <c r="BI11" s="46">
        <f t="shared" si="23"/>
        <v>0</v>
      </c>
      <c r="BJ11" s="46"/>
      <c r="BK11" s="46"/>
      <c r="BL11" s="46">
        <f t="shared" si="2"/>
        <v>0</v>
      </c>
      <c r="BM11" s="46"/>
      <c r="BN11" s="46"/>
      <c r="BO11" s="46">
        <f t="shared" si="24"/>
        <v>0</v>
      </c>
      <c r="BP11" s="46"/>
      <c r="BQ11" s="46"/>
      <c r="BR11" s="46">
        <f t="shared" si="25"/>
        <v>0</v>
      </c>
      <c r="BS11" s="46"/>
      <c r="BT11" s="46"/>
      <c r="BU11" s="46">
        <f t="shared" si="26"/>
        <v>0</v>
      </c>
      <c r="BV11" s="46"/>
      <c r="BW11" s="46"/>
      <c r="BX11" s="46">
        <f t="shared" si="3"/>
        <v>0</v>
      </c>
      <c r="BY11" s="46"/>
      <c r="BZ11" s="46"/>
      <c r="CA11" s="46">
        <f t="shared" si="27"/>
        <v>0</v>
      </c>
      <c r="CB11" s="46"/>
      <c r="CC11" s="46"/>
      <c r="CD11" s="46">
        <f t="shared" si="28"/>
        <v>0</v>
      </c>
      <c r="CE11" s="46"/>
      <c r="CF11" s="46"/>
      <c r="CG11" s="46">
        <f t="shared" si="29"/>
        <v>0</v>
      </c>
      <c r="CH11" s="46"/>
      <c r="CI11" s="46"/>
      <c r="CJ11" s="46">
        <f t="shared" si="4"/>
        <v>0</v>
      </c>
      <c r="CK11" s="46"/>
      <c r="CL11" s="46"/>
      <c r="CM11" s="46">
        <f t="shared" si="30"/>
        <v>0</v>
      </c>
      <c r="CN11" s="46"/>
      <c r="CO11" s="46"/>
      <c r="CP11" s="46">
        <f t="shared" si="5"/>
        <v>0</v>
      </c>
    </row>
    <row r="12" spans="1:94" ht="15" customHeight="1" x14ac:dyDescent="0.25">
      <c r="A12" s="47" t="s">
        <v>161</v>
      </c>
      <c r="B12" s="46"/>
      <c r="C12" s="46"/>
      <c r="D12" s="46">
        <f t="shared" si="0"/>
        <v>0</v>
      </c>
      <c r="E12" s="46"/>
      <c r="F12" s="46"/>
      <c r="G12" s="46">
        <f t="shared" si="6"/>
        <v>0</v>
      </c>
      <c r="H12" s="46">
        <v>0</v>
      </c>
      <c r="I12" s="46">
        <v>0</v>
      </c>
      <c r="J12" s="46">
        <f t="shared" si="1"/>
        <v>0</v>
      </c>
      <c r="K12" s="46"/>
      <c r="L12" s="46"/>
      <c r="M12" s="46">
        <f t="shared" si="7"/>
        <v>0</v>
      </c>
      <c r="N12" s="46"/>
      <c r="O12" s="46"/>
      <c r="P12" s="46">
        <f t="shared" si="8"/>
        <v>0</v>
      </c>
      <c r="Q12" s="46"/>
      <c r="R12" s="46"/>
      <c r="S12" s="46">
        <f t="shared" si="9"/>
        <v>0</v>
      </c>
      <c r="T12" s="46"/>
      <c r="U12" s="46"/>
      <c r="V12" s="46">
        <f t="shared" si="10"/>
        <v>0</v>
      </c>
      <c r="W12" s="46"/>
      <c r="X12" s="46"/>
      <c r="Y12" s="46">
        <f t="shared" si="11"/>
        <v>0</v>
      </c>
      <c r="Z12" s="46"/>
      <c r="AA12" s="46"/>
      <c r="AB12" s="46">
        <f t="shared" si="12"/>
        <v>0</v>
      </c>
      <c r="AC12" s="46"/>
      <c r="AD12" s="46"/>
      <c r="AE12" s="46">
        <f t="shared" si="13"/>
        <v>0</v>
      </c>
      <c r="AF12" s="46">
        <v>249</v>
      </c>
      <c r="AG12" s="46">
        <v>903</v>
      </c>
      <c r="AH12" s="46">
        <f t="shared" si="14"/>
        <v>1152</v>
      </c>
      <c r="AI12" s="46"/>
      <c r="AJ12" s="46"/>
      <c r="AK12" s="46">
        <f t="shared" si="15"/>
        <v>0</v>
      </c>
      <c r="AL12" s="46"/>
      <c r="AM12" s="46"/>
      <c r="AN12" s="46">
        <f t="shared" si="16"/>
        <v>0</v>
      </c>
      <c r="AO12" s="46"/>
      <c r="AP12" s="46"/>
      <c r="AQ12" s="46">
        <f t="shared" si="17"/>
        <v>0</v>
      </c>
      <c r="AR12" s="46"/>
      <c r="AS12" s="46"/>
      <c r="AT12" s="46">
        <f t="shared" si="18"/>
        <v>0</v>
      </c>
      <c r="AU12" s="46"/>
      <c r="AV12" s="46"/>
      <c r="AW12" s="46">
        <f t="shared" si="19"/>
        <v>0</v>
      </c>
      <c r="AX12" s="46"/>
      <c r="AY12" s="46"/>
      <c r="AZ12" s="46">
        <f t="shared" si="20"/>
        <v>0</v>
      </c>
      <c r="BA12" s="46"/>
      <c r="BB12" s="46"/>
      <c r="BC12" s="46">
        <f t="shared" si="21"/>
        <v>0</v>
      </c>
      <c r="BD12" s="46">
        <v>1.78</v>
      </c>
      <c r="BE12" s="46">
        <v>5031.08</v>
      </c>
      <c r="BF12" s="46">
        <f t="shared" si="22"/>
        <v>5032.8599999999997</v>
      </c>
      <c r="BG12" s="46"/>
      <c r="BH12" s="46"/>
      <c r="BI12" s="46">
        <f t="shared" si="23"/>
        <v>0</v>
      </c>
      <c r="BJ12" s="46"/>
      <c r="BK12" s="46"/>
      <c r="BL12" s="46">
        <f t="shared" si="2"/>
        <v>0</v>
      </c>
      <c r="BM12" s="46"/>
      <c r="BN12" s="46"/>
      <c r="BO12" s="46">
        <f t="shared" si="24"/>
        <v>0</v>
      </c>
      <c r="BP12" s="46"/>
      <c r="BQ12" s="46"/>
      <c r="BR12" s="46">
        <f t="shared" si="25"/>
        <v>0</v>
      </c>
      <c r="BS12" s="46"/>
      <c r="BT12" s="46"/>
      <c r="BU12" s="46">
        <f t="shared" si="26"/>
        <v>0</v>
      </c>
      <c r="BV12" s="46"/>
      <c r="BW12" s="46"/>
      <c r="BX12" s="46">
        <f t="shared" si="3"/>
        <v>0</v>
      </c>
      <c r="BY12" s="46"/>
      <c r="BZ12" s="46"/>
      <c r="CA12" s="46">
        <f t="shared" si="27"/>
        <v>0</v>
      </c>
      <c r="CB12" s="46"/>
      <c r="CC12" s="46"/>
      <c r="CD12" s="46">
        <f t="shared" si="28"/>
        <v>0</v>
      </c>
      <c r="CE12" s="46">
        <v>3305</v>
      </c>
      <c r="CF12" s="46">
        <v>7822</v>
      </c>
      <c r="CG12" s="46">
        <f t="shared" si="29"/>
        <v>11127</v>
      </c>
      <c r="CH12" s="46"/>
      <c r="CI12" s="46"/>
      <c r="CJ12" s="46">
        <f t="shared" si="4"/>
        <v>0</v>
      </c>
      <c r="CK12" s="46"/>
      <c r="CL12" s="46"/>
      <c r="CM12" s="46">
        <f t="shared" si="30"/>
        <v>0</v>
      </c>
      <c r="CN12" s="46"/>
      <c r="CO12" s="46"/>
      <c r="CP12" s="46">
        <f t="shared" si="5"/>
        <v>0</v>
      </c>
    </row>
    <row r="13" spans="1:94" ht="15" customHeight="1" x14ac:dyDescent="0.25">
      <c r="A13" s="47" t="s">
        <v>299</v>
      </c>
      <c r="B13" s="46"/>
      <c r="C13" s="46"/>
      <c r="D13" s="46"/>
      <c r="E13" s="46"/>
      <c r="F13" s="46"/>
      <c r="G13" s="46">
        <f t="shared" si="6"/>
        <v>0</v>
      </c>
      <c r="H13" s="46">
        <v>0</v>
      </c>
      <c r="I13" s="46">
        <v>0</v>
      </c>
      <c r="J13" s="46">
        <f t="shared" si="1"/>
        <v>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>
        <f t="shared" si="24"/>
        <v>0</v>
      </c>
      <c r="BP13" s="46"/>
      <c r="BQ13" s="46"/>
      <c r="BR13" s="46">
        <f t="shared" si="25"/>
        <v>0</v>
      </c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</row>
    <row r="14" spans="1:94" ht="15" customHeight="1" x14ac:dyDescent="0.25">
      <c r="A14" s="47" t="s">
        <v>300</v>
      </c>
      <c r="B14" s="46">
        <v>1701</v>
      </c>
      <c r="C14" s="46">
        <v>3803</v>
      </c>
      <c r="D14" s="46">
        <f t="shared" si="0"/>
        <v>5504</v>
      </c>
      <c r="E14" s="46"/>
      <c r="F14" s="46">
        <v>6903</v>
      </c>
      <c r="G14" s="46">
        <f t="shared" si="6"/>
        <v>6903</v>
      </c>
      <c r="H14" s="46">
        <v>39805</v>
      </c>
      <c r="I14" s="46">
        <v>147009</v>
      </c>
      <c r="J14" s="46">
        <f t="shared" si="1"/>
        <v>186814</v>
      </c>
      <c r="K14" s="46">
        <v>8176</v>
      </c>
      <c r="L14" s="46">
        <v>240466</v>
      </c>
      <c r="M14" s="46">
        <f t="shared" si="7"/>
        <v>248642</v>
      </c>
      <c r="N14" s="46">
        <v>16915</v>
      </c>
      <c r="O14" s="46">
        <v>34105</v>
      </c>
      <c r="P14" s="46">
        <f t="shared" si="8"/>
        <v>51020</v>
      </c>
      <c r="Q14" s="46">
        <v>13108</v>
      </c>
      <c r="R14" s="46">
        <v>91271</v>
      </c>
      <c r="S14" s="46">
        <f t="shared" si="9"/>
        <v>104379</v>
      </c>
      <c r="T14" s="46">
        <v>74627.69</v>
      </c>
      <c r="U14" s="46">
        <v>91211.62</v>
      </c>
      <c r="V14" s="46">
        <f t="shared" si="10"/>
        <v>165839.31</v>
      </c>
      <c r="W14" s="46"/>
      <c r="X14" s="46"/>
      <c r="Y14" s="46">
        <f t="shared" si="11"/>
        <v>0</v>
      </c>
      <c r="Z14" s="46">
        <v>17099.560000000001</v>
      </c>
      <c r="AA14" s="46">
        <v>57426.01</v>
      </c>
      <c r="AB14" s="46">
        <f t="shared" si="12"/>
        <v>74525.570000000007</v>
      </c>
      <c r="AC14" s="46"/>
      <c r="AD14" s="46">
        <v>31768</v>
      </c>
      <c r="AE14" s="46">
        <f t="shared" si="13"/>
        <v>31768</v>
      </c>
      <c r="AF14" s="46">
        <v>51242</v>
      </c>
      <c r="AG14" s="46">
        <v>185889</v>
      </c>
      <c r="AH14" s="46">
        <f t="shared" si="14"/>
        <v>237131</v>
      </c>
      <c r="AI14" s="46">
        <v>88295</v>
      </c>
      <c r="AJ14" s="46">
        <v>291236</v>
      </c>
      <c r="AK14" s="46">
        <f t="shared" si="15"/>
        <v>379531</v>
      </c>
      <c r="AL14" s="46">
        <v>10475</v>
      </c>
      <c r="AM14" s="46">
        <v>37710</v>
      </c>
      <c r="AN14" s="46">
        <f t="shared" si="16"/>
        <v>48185</v>
      </c>
      <c r="AO14" s="46">
        <v>1180</v>
      </c>
      <c r="AP14" s="46">
        <v>3844</v>
      </c>
      <c r="AQ14" s="46">
        <f t="shared" si="17"/>
        <v>5024</v>
      </c>
      <c r="AR14" s="46">
        <v>26407</v>
      </c>
      <c r="AS14" s="46">
        <v>68032</v>
      </c>
      <c r="AT14" s="46">
        <f t="shared" si="18"/>
        <v>94439</v>
      </c>
      <c r="AU14" s="46">
        <v>5341.75</v>
      </c>
      <c r="AV14" s="46">
        <v>40180.79</v>
      </c>
      <c r="AW14" s="46">
        <f t="shared" si="19"/>
        <v>45522.54</v>
      </c>
      <c r="AX14" s="46">
        <v>2070.36</v>
      </c>
      <c r="AY14" s="46">
        <v>7898.92</v>
      </c>
      <c r="AZ14" s="46">
        <f t="shared" si="20"/>
        <v>9969.2800000000007</v>
      </c>
      <c r="BA14" s="46">
        <v>17570</v>
      </c>
      <c r="BB14" s="46">
        <v>43771</v>
      </c>
      <c r="BC14" s="46">
        <f t="shared" si="21"/>
        <v>61341</v>
      </c>
      <c r="BD14" s="46">
        <v>78.5</v>
      </c>
      <c r="BE14" s="46">
        <v>221591.37</v>
      </c>
      <c r="BF14" s="46">
        <f t="shared" si="22"/>
        <v>221669.87</v>
      </c>
      <c r="BG14" s="46">
        <v>9170</v>
      </c>
      <c r="BH14" s="46">
        <v>3923</v>
      </c>
      <c r="BI14" s="46">
        <f t="shared" si="23"/>
        <v>13093</v>
      </c>
      <c r="BJ14" s="46">
        <v>4119</v>
      </c>
      <c r="BK14" s="46">
        <v>13220</v>
      </c>
      <c r="BL14" s="46">
        <f t="shared" si="2"/>
        <v>17339</v>
      </c>
      <c r="BM14" s="46">
        <v>50190</v>
      </c>
      <c r="BN14" s="46">
        <v>264913</v>
      </c>
      <c r="BO14" s="46">
        <f t="shared" si="24"/>
        <v>315103</v>
      </c>
      <c r="BP14" s="46">
        <v>19666</v>
      </c>
      <c r="BQ14" s="46">
        <v>91104</v>
      </c>
      <c r="BR14" s="46">
        <f t="shared" si="25"/>
        <v>110770</v>
      </c>
      <c r="BS14" s="46">
        <v>19997</v>
      </c>
      <c r="BT14" s="46">
        <v>141843</v>
      </c>
      <c r="BU14" s="46">
        <f t="shared" si="26"/>
        <v>161840</v>
      </c>
      <c r="BV14" s="46">
        <v>2780</v>
      </c>
      <c r="BW14" s="46">
        <v>31611</v>
      </c>
      <c r="BX14" s="46">
        <f t="shared" si="3"/>
        <v>34391</v>
      </c>
      <c r="BY14" s="46"/>
      <c r="BZ14" s="46"/>
      <c r="CA14" s="46">
        <f t="shared" si="27"/>
        <v>0</v>
      </c>
      <c r="CB14" s="46">
        <v>59030</v>
      </c>
      <c r="CC14" s="46">
        <v>275722</v>
      </c>
      <c r="CD14" s="46">
        <f t="shared" si="28"/>
        <v>334752</v>
      </c>
      <c r="CE14" s="46">
        <v>46537</v>
      </c>
      <c r="CF14" s="46">
        <v>107412</v>
      </c>
      <c r="CG14" s="46">
        <f t="shared" si="29"/>
        <v>153949</v>
      </c>
      <c r="CH14" s="46">
        <v>935</v>
      </c>
      <c r="CI14" s="46">
        <v>50723</v>
      </c>
      <c r="CJ14" s="46">
        <f t="shared" si="4"/>
        <v>51658</v>
      </c>
      <c r="CK14" s="46">
        <v>12643</v>
      </c>
      <c r="CL14" s="46">
        <v>127526</v>
      </c>
      <c r="CM14" s="46">
        <f t="shared" si="30"/>
        <v>140169</v>
      </c>
      <c r="CN14" s="46">
        <v>13774</v>
      </c>
      <c r="CO14" s="46">
        <v>44094</v>
      </c>
      <c r="CP14" s="46">
        <f t="shared" si="5"/>
        <v>57868</v>
      </c>
    </row>
    <row r="15" spans="1:94" ht="15" customHeight="1" x14ac:dyDescent="0.25">
      <c r="A15" s="47" t="s">
        <v>168</v>
      </c>
      <c r="B15" s="46"/>
      <c r="C15" s="46"/>
      <c r="D15" s="46">
        <f t="shared" si="0"/>
        <v>0</v>
      </c>
      <c r="E15" s="46"/>
      <c r="F15" s="46"/>
      <c r="G15" s="46">
        <f t="shared" si="6"/>
        <v>0</v>
      </c>
      <c r="H15" s="46">
        <v>141</v>
      </c>
      <c r="I15" s="46">
        <v>521</v>
      </c>
      <c r="J15" s="46">
        <f t="shared" si="1"/>
        <v>662</v>
      </c>
      <c r="K15" s="46"/>
      <c r="L15" s="46"/>
      <c r="M15" s="46">
        <f t="shared" si="7"/>
        <v>0</v>
      </c>
      <c r="N15" s="46"/>
      <c r="O15" s="46"/>
      <c r="P15" s="46">
        <f t="shared" si="8"/>
        <v>0</v>
      </c>
      <c r="Q15" s="46">
        <v>152</v>
      </c>
      <c r="R15" s="46">
        <v>1057</v>
      </c>
      <c r="S15" s="46">
        <f t="shared" si="9"/>
        <v>1209</v>
      </c>
      <c r="T15" s="46"/>
      <c r="U15" s="46"/>
      <c r="V15" s="46">
        <f t="shared" si="10"/>
        <v>0</v>
      </c>
      <c r="W15" s="46"/>
      <c r="X15" s="46"/>
      <c r="Y15" s="46">
        <f t="shared" si="11"/>
        <v>0</v>
      </c>
      <c r="Z15" s="46"/>
      <c r="AA15" s="46"/>
      <c r="AB15" s="46">
        <f t="shared" si="12"/>
        <v>0</v>
      </c>
      <c r="AC15" s="46"/>
      <c r="AD15" s="46"/>
      <c r="AE15" s="46">
        <f t="shared" si="13"/>
        <v>0</v>
      </c>
      <c r="AF15" s="46">
        <v>52</v>
      </c>
      <c r="AG15" s="46">
        <v>189</v>
      </c>
      <c r="AH15" s="46">
        <f t="shared" si="14"/>
        <v>241</v>
      </c>
      <c r="AI15" s="46">
        <v>28699</v>
      </c>
      <c r="AJ15" s="46">
        <v>87158</v>
      </c>
      <c r="AK15" s="46">
        <f t="shared" si="15"/>
        <v>115857</v>
      </c>
      <c r="AL15" s="46"/>
      <c r="AM15" s="46"/>
      <c r="AN15" s="46">
        <f>AM15+AL15</f>
        <v>0</v>
      </c>
      <c r="AO15" s="46"/>
      <c r="AP15" s="46"/>
      <c r="AQ15" s="46">
        <f t="shared" si="17"/>
        <v>0</v>
      </c>
      <c r="AR15" s="46"/>
      <c r="AS15" s="46"/>
      <c r="AT15" s="46">
        <f t="shared" si="18"/>
        <v>0</v>
      </c>
      <c r="AU15" s="46">
        <v>870.1</v>
      </c>
      <c r="AV15" s="46">
        <v>6544.9</v>
      </c>
      <c r="AW15" s="46">
        <f t="shared" si="19"/>
        <v>7415</v>
      </c>
      <c r="AX15" s="46"/>
      <c r="AY15" s="46"/>
      <c r="AZ15" s="46">
        <f t="shared" si="20"/>
        <v>0</v>
      </c>
      <c r="BA15" s="46"/>
      <c r="BB15" s="46">
        <v>3737</v>
      </c>
      <c r="BC15" s="46">
        <f t="shared" si="21"/>
        <v>3737</v>
      </c>
      <c r="BD15" s="46">
        <v>0.13</v>
      </c>
      <c r="BE15" s="46">
        <v>359.24</v>
      </c>
      <c r="BF15" s="46">
        <f t="shared" si="22"/>
        <v>359.37</v>
      </c>
      <c r="BG15" s="46"/>
      <c r="BH15" s="46"/>
      <c r="BI15" s="46">
        <f t="shared" si="23"/>
        <v>0</v>
      </c>
      <c r="BJ15" s="46">
        <v>8</v>
      </c>
      <c r="BK15" s="46">
        <v>25</v>
      </c>
      <c r="BL15" s="46">
        <f t="shared" si="2"/>
        <v>33</v>
      </c>
      <c r="BM15" s="46"/>
      <c r="BN15" s="46"/>
      <c r="BO15" s="46">
        <f t="shared" si="24"/>
        <v>0</v>
      </c>
      <c r="BP15" s="46">
        <v>135</v>
      </c>
      <c r="BQ15" s="46">
        <v>626</v>
      </c>
      <c r="BR15" s="46">
        <f t="shared" si="25"/>
        <v>761</v>
      </c>
      <c r="BS15" s="46"/>
      <c r="BT15" s="46"/>
      <c r="BU15" s="46">
        <f t="shared" si="26"/>
        <v>0</v>
      </c>
      <c r="BV15" s="46"/>
      <c r="BW15" s="46">
        <v>465</v>
      </c>
      <c r="BX15" s="46">
        <f t="shared" si="3"/>
        <v>465</v>
      </c>
      <c r="BY15" s="46"/>
      <c r="BZ15" s="46"/>
      <c r="CA15" s="46">
        <f t="shared" si="27"/>
        <v>0</v>
      </c>
      <c r="CB15" s="46"/>
      <c r="CC15" s="46"/>
      <c r="CD15" s="46">
        <f t="shared" si="28"/>
        <v>0</v>
      </c>
      <c r="CE15" s="46"/>
      <c r="CF15" s="46"/>
      <c r="CG15" s="46">
        <f t="shared" si="29"/>
        <v>0</v>
      </c>
      <c r="CH15" s="46"/>
      <c r="CI15" s="46"/>
      <c r="CJ15" s="46">
        <f t="shared" si="4"/>
        <v>0</v>
      </c>
      <c r="CK15" s="46"/>
      <c r="CL15" s="46"/>
      <c r="CM15" s="46">
        <f t="shared" si="30"/>
        <v>0</v>
      </c>
      <c r="CN15" s="46"/>
      <c r="CO15" s="46"/>
      <c r="CP15" s="46">
        <f t="shared" si="5"/>
        <v>0</v>
      </c>
    </row>
    <row r="16" spans="1:94" ht="15" customHeight="1" x14ac:dyDescent="0.25">
      <c r="A16" s="47" t="s">
        <v>162</v>
      </c>
      <c r="B16" s="46"/>
      <c r="C16" s="46"/>
      <c r="D16" s="46">
        <f t="shared" si="0"/>
        <v>0</v>
      </c>
      <c r="E16" s="46"/>
      <c r="F16" s="46"/>
      <c r="G16" s="46">
        <f t="shared" si="6"/>
        <v>0</v>
      </c>
      <c r="H16" s="46"/>
      <c r="I16" s="46"/>
      <c r="J16" s="46">
        <f t="shared" si="1"/>
        <v>0</v>
      </c>
      <c r="K16" s="46"/>
      <c r="L16" s="46"/>
      <c r="M16" s="46">
        <f t="shared" si="7"/>
        <v>0</v>
      </c>
      <c r="N16" s="46"/>
      <c r="O16" s="46"/>
      <c r="P16" s="46">
        <f t="shared" si="8"/>
        <v>0</v>
      </c>
      <c r="Q16" s="46"/>
      <c r="R16" s="46"/>
      <c r="S16" s="46">
        <f t="shared" si="9"/>
        <v>0</v>
      </c>
      <c r="T16" s="46"/>
      <c r="U16" s="46"/>
      <c r="V16" s="46">
        <f t="shared" si="10"/>
        <v>0</v>
      </c>
      <c r="W16" s="46"/>
      <c r="X16" s="46"/>
      <c r="Y16" s="46">
        <f t="shared" si="11"/>
        <v>0</v>
      </c>
      <c r="Z16" s="46"/>
      <c r="AA16" s="46"/>
      <c r="AB16" s="46">
        <f t="shared" si="12"/>
        <v>0</v>
      </c>
      <c r="AC16" s="46"/>
      <c r="AD16" s="46"/>
      <c r="AE16" s="46">
        <f t="shared" si="13"/>
        <v>0</v>
      </c>
      <c r="AF16" s="46"/>
      <c r="AG16" s="46"/>
      <c r="AH16" s="46">
        <f t="shared" si="14"/>
        <v>0</v>
      </c>
      <c r="AI16" s="46"/>
      <c r="AJ16" s="46"/>
      <c r="AK16" s="46">
        <f t="shared" si="15"/>
        <v>0</v>
      </c>
      <c r="AL16" s="46">
        <v>11</v>
      </c>
      <c r="AM16" s="46">
        <v>39</v>
      </c>
      <c r="AN16" s="46">
        <f t="shared" si="16"/>
        <v>50</v>
      </c>
      <c r="AO16" s="46"/>
      <c r="AP16" s="46"/>
      <c r="AQ16" s="46">
        <f t="shared" si="17"/>
        <v>0</v>
      </c>
      <c r="AR16" s="46"/>
      <c r="AS16" s="46"/>
      <c r="AT16" s="46">
        <f t="shared" si="18"/>
        <v>0</v>
      </c>
      <c r="AU16" s="46"/>
      <c r="AV16" s="46"/>
      <c r="AW16" s="46">
        <f t="shared" si="19"/>
        <v>0</v>
      </c>
      <c r="AX16" s="46"/>
      <c r="AY16" s="46"/>
      <c r="AZ16" s="46">
        <f t="shared" si="20"/>
        <v>0</v>
      </c>
      <c r="BA16" s="46"/>
      <c r="BB16" s="46"/>
      <c r="BC16" s="46">
        <f t="shared" si="21"/>
        <v>0</v>
      </c>
      <c r="BD16" s="46"/>
      <c r="BE16" s="46"/>
      <c r="BF16" s="46">
        <f t="shared" si="22"/>
        <v>0</v>
      </c>
      <c r="BG16" s="46"/>
      <c r="BH16" s="46"/>
      <c r="BI16" s="46">
        <f t="shared" si="23"/>
        <v>0</v>
      </c>
      <c r="BJ16" s="46"/>
      <c r="BK16" s="46"/>
      <c r="BL16" s="46">
        <f t="shared" si="2"/>
        <v>0</v>
      </c>
      <c r="BM16" s="46"/>
      <c r="BN16" s="46"/>
      <c r="BO16" s="46">
        <f t="shared" si="24"/>
        <v>0</v>
      </c>
      <c r="BP16" s="46"/>
      <c r="BQ16" s="46"/>
      <c r="BR16" s="46">
        <f t="shared" si="25"/>
        <v>0</v>
      </c>
      <c r="BS16" s="46"/>
      <c r="BT16" s="46"/>
      <c r="BU16" s="46">
        <f t="shared" si="26"/>
        <v>0</v>
      </c>
      <c r="BV16" s="46">
        <v>16139</v>
      </c>
      <c r="BW16" s="46"/>
      <c r="BX16" s="46">
        <f t="shared" si="3"/>
        <v>16139</v>
      </c>
      <c r="BY16" s="46"/>
      <c r="BZ16" s="46"/>
      <c r="CA16" s="46">
        <f t="shared" si="27"/>
        <v>0</v>
      </c>
      <c r="CB16" s="46"/>
      <c r="CC16" s="46"/>
      <c r="CD16" s="46">
        <f t="shared" si="28"/>
        <v>0</v>
      </c>
      <c r="CE16" s="46">
        <v>10453</v>
      </c>
      <c r="CF16" s="46"/>
      <c r="CG16" s="46">
        <f t="shared" si="29"/>
        <v>10453</v>
      </c>
      <c r="CH16" s="46"/>
      <c r="CI16" s="46">
        <v>5</v>
      </c>
      <c r="CJ16" s="46">
        <f t="shared" si="4"/>
        <v>5</v>
      </c>
      <c r="CK16" s="46"/>
      <c r="CL16" s="46"/>
      <c r="CM16" s="46">
        <f t="shared" si="30"/>
        <v>0</v>
      </c>
      <c r="CN16" s="46"/>
      <c r="CO16" s="46"/>
      <c r="CP16" s="46">
        <f t="shared" si="5"/>
        <v>0</v>
      </c>
    </row>
    <row r="17" spans="1:94" ht="15" customHeight="1" x14ac:dyDescent="0.25">
      <c r="A17" s="47" t="s">
        <v>163</v>
      </c>
      <c r="B17" s="46"/>
      <c r="C17" s="46"/>
      <c r="D17" s="46">
        <f t="shared" si="0"/>
        <v>0</v>
      </c>
      <c r="E17" s="46"/>
      <c r="F17" s="46"/>
      <c r="G17" s="46">
        <f t="shared" si="6"/>
        <v>0</v>
      </c>
      <c r="H17" s="46"/>
      <c r="I17" s="46"/>
      <c r="J17" s="46">
        <f t="shared" si="1"/>
        <v>0</v>
      </c>
      <c r="K17" s="46"/>
      <c r="L17" s="46"/>
      <c r="M17" s="46">
        <f t="shared" si="7"/>
        <v>0</v>
      </c>
      <c r="N17" s="46"/>
      <c r="O17" s="46"/>
      <c r="P17" s="46">
        <f t="shared" si="8"/>
        <v>0</v>
      </c>
      <c r="Q17" s="46">
        <v>1332</v>
      </c>
      <c r="R17" s="46">
        <v>9274</v>
      </c>
      <c r="S17" s="46">
        <f t="shared" si="9"/>
        <v>10606</v>
      </c>
      <c r="T17" s="46"/>
      <c r="U17" s="46"/>
      <c r="V17" s="46">
        <f t="shared" si="10"/>
        <v>0</v>
      </c>
      <c r="W17" s="46"/>
      <c r="X17" s="46"/>
      <c r="Y17" s="46">
        <f t="shared" si="11"/>
        <v>0</v>
      </c>
      <c r="Z17" s="46"/>
      <c r="AA17" s="46"/>
      <c r="AB17" s="46">
        <f t="shared" si="12"/>
        <v>0</v>
      </c>
      <c r="AC17" s="46"/>
      <c r="AD17" s="46"/>
      <c r="AE17" s="46">
        <f t="shared" si="13"/>
        <v>0</v>
      </c>
      <c r="AF17" s="46"/>
      <c r="AG17" s="46"/>
      <c r="AH17" s="46">
        <f t="shared" si="14"/>
        <v>0</v>
      </c>
      <c r="AI17" s="46">
        <v>8171</v>
      </c>
      <c r="AJ17" s="46">
        <v>26952</v>
      </c>
      <c r="AK17" s="46">
        <f t="shared" si="15"/>
        <v>35123</v>
      </c>
      <c r="AL17" s="46"/>
      <c r="AM17" s="46"/>
      <c r="AN17" s="46">
        <f t="shared" si="16"/>
        <v>0</v>
      </c>
      <c r="AO17" s="46"/>
      <c r="AP17" s="46"/>
      <c r="AQ17" s="46">
        <f t="shared" si="17"/>
        <v>0</v>
      </c>
      <c r="AR17" s="46"/>
      <c r="AS17" s="46"/>
      <c r="AT17" s="46">
        <f t="shared" si="18"/>
        <v>0</v>
      </c>
      <c r="AU17" s="46"/>
      <c r="AV17" s="46"/>
      <c r="AW17" s="46">
        <f t="shared" si="19"/>
        <v>0</v>
      </c>
      <c r="AX17" s="46"/>
      <c r="AY17" s="46"/>
      <c r="AZ17" s="46">
        <f t="shared" si="20"/>
        <v>0</v>
      </c>
      <c r="BA17" s="46"/>
      <c r="BB17" s="46"/>
      <c r="BC17" s="46">
        <f t="shared" si="21"/>
        <v>0</v>
      </c>
      <c r="BD17" s="46">
        <v>0.01</v>
      </c>
      <c r="BE17" s="46">
        <v>22.32</v>
      </c>
      <c r="BF17" s="46">
        <f t="shared" si="22"/>
        <v>22.330000000000002</v>
      </c>
      <c r="BG17" s="46"/>
      <c r="BH17" s="46"/>
      <c r="BI17" s="46">
        <f t="shared" si="23"/>
        <v>0</v>
      </c>
      <c r="BJ17" s="46"/>
      <c r="BK17" s="46"/>
      <c r="BL17" s="46">
        <f t="shared" si="2"/>
        <v>0</v>
      </c>
      <c r="BM17" s="46"/>
      <c r="BN17" s="46"/>
      <c r="BO17" s="46">
        <f t="shared" si="24"/>
        <v>0</v>
      </c>
      <c r="BP17" s="46"/>
      <c r="BQ17" s="46"/>
      <c r="BR17" s="46">
        <f t="shared" si="25"/>
        <v>0</v>
      </c>
      <c r="BS17" s="46"/>
      <c r="BT17" s="46"/>
      <c r="BU17" s="46">
        <f t="shared" si="26"/>
        <v>0</v>
      </c>
      <c r="BV17" s="46"/>
      <c r="BW17" s="46"/>
      <c r="BX17" s="46">
        <f t="shared" si="3"/>
        <v>0</v>
      </c>
      <c r="BY17" s="46">
        <v>5030</v>
      </c>
      <c r="BZ17" s="46">
        <v>7175</v>
      </c>
      <c r="CA17" s="46">
        <f t="shared" si="27"/>
        <v>12205</v>
      </c>
      <c r="CB17" s="46">
        <v>2908</v>
      </c>
      <c r="CC17" s="46">
        <v>13584</v>
      </c>
      <c r="CD17" s="46">
        <f t="shared" si="28"/>
        <v>16492</v>
      </c>
      <c r="CE17" s="46"/>
      <c r="CF17" s="46"/>
      <c r="CG17" s="46">
        <f t="shared" si="29"/>
        <v>0</v>
      </c>
      <c r="CH17" s="46"/>
      <c r="CI17" s="46"/>
      <c r="CJ17" s="46">
        <f t="shared" si="4"/>
        <v>0</v>
      </c>
      <c r="CK17" s="46"/>
      <c r="CL17" s="46"/>
      <c r="CM17" s="46">
        <f t="shared" si="30"/>
        <v>0</v>
      </c>
      <c r="CN17" s="46"/>
      <c r="CO17" s="46"/>
      <c r="CP17" s="46">
        <f t="shared" si="5"/>
        <v>0</v>
      </c>
    </row>
    <row r="18" spans="1:94" ht="15" customHeight="1" x14ac:dyDescent="0.25">
      <c r="A18" s="47" t="s">
        <v>298</v>
      </c>
      <c r="B18" s="46">
        <v>7087</v>
      </c>
      <c r="C18" s="46">
        <v>15849</v>
      </c>
      <c r="D18" s="46">
        <f t="shared" si="0"/>
        <v>22936</v>
      </c>
      <c r="E18" s="46">
        <v>2576</v>
      </c>
      <c r="F18" s="46">
        <f>4541+2759</f>
        <v>7300</v>
      </c>
      <c r="G18" s="46">
        <f t="shared" si="6"/>
        <v>9876</v>
      </c>
      <c r="H18" s="46">
        <v>14237</v>
      </c>
      <c r="I18" s="46">
        <v>52581</v>
      </c>
      <c r="J18" s="46">
        <f t="shared" si="1"/>
        <v>66818</v>
      </c>
      <c r="K18" s="46">
        <v>108324</v>
      </c>
      <c r="L18" s="46">
        <v>304809</v>
      </c>
      <c r="M18" s="46">
        <f t="shared" si="7"/>
        <v>413133</v>
      </c>
      <c r="N18" s="46">
        <v>36123</v>
      </c>
      <c r="O18" s="46">
        <v>67188</v>
      </c>
      <c r="P18" s="46">
        <f t="shared" si="8"/>
        <v>103311</v>
      </c>
      <c r="Q18" s="46">
        <v>16481</v>
      </c>
      <c r="R18" s="46">
        <v>114764</v>
      </c>
      <c r="S18" s="46">
        <f t="shared" si="9"/>
        <v>131245</v>
      </c>
      <c r="T18" s="46">
        <v>139684.72</v>
      </c>
      <c r="U18" s="46">
        <v>170725.77</v>
      </c>
      <c r="V18" s="46">
        <f t="shared" si="10"/>
        <v>310410.49</v>
      </c>
      <c r="W18" s="46">
        <v>20</v>
      </c>
      <c r="X18" s="46">
        <v>4082</v>
      </c>
      <c r="Y18" s="46">
        <f t="shared" si="11"/>
        <v>4102</v>
      </c>
      <c r="Z18" s="46">
        <v>38574.53</v>
      </c>
      <c r="AA18" s="46">
        <v>129546.12</v>
      </c>
      <c r="AB18" s="46">
        <f t="shared" si="12"/>
        <v>168120.65</v>
      </c>
      <c r="AC18" s="46">
        <v>22962</v>
      </c>
      <c r="AD18" s="46">
        <v>78010</v>
      </c>
      <c r="AE18" s="46">
        <f t="shared" si="13"/>
        <v>100972</v>
      </c>
      <c r="AF18" s="46">
        <v>107522</v>
      </c>
      <c r="AG18" s="46">
        <v>390050</v>
      </c>
      <c r="AH18" s="46">
        <f t="shared" si="14"/>
        <v>497572</v>
      </c>
      <c r="AI18" s="46">
        <v>204127</v>
      </c>
      <c r="AJ18" s="46">
        <v>673297</v>
      </c>
      <c r="AK18" s="46">
        <f t="shared" si="15"/>
        <v>877424</v>
      </c>
      <c r="AL18" s="46">
        <v>93740</v>
      </c>
      <c r="AM18" s="46">
        <v>337463</v>
      </c>
      <c r="AN18" s="46">
        <f>AM18+AL18</f>
        <v>431203</v>
      </c>
      <c r="AO18" s="46">
        <v>3063</v>
      </c>
      <c r="AP18" s="46">
        <v>9975</v>
      </c>
      <c r="AQ18" s="46">
        <f t="shared" si="17"/>
        <v>13038</v>
      </c>
      <c r="AR18" s="46">
        <v>12174</v>
      </c>
      <c r="AS18" s="46">
        <v>31364</v>
      </c>
      <c r="AT18" s="46">
        <f t="shared" si="18"/>
        <v>43538</v>
      </c>
      <c r="AU18" s="46">
        <v>9005.2199999999993</v>
      </c>
      <c r="AV18" s="46">
        <v>67737.45</v>
      </c>
      <c r="AW18" s="46">
        <f t="shared" si="19"/>
        <v>76742.67</v>
      </c>
      <c r="AX18" s="46">
        <v>6876.41</v>
      </c>
      <c r="AY18" s="46">
        <v>16858.75</v>
      </c>
      <c r="AZ18" s="46">
        <f t="shared" si="20"/>
        <v>23735.16</v>
      </c>
      <c r="BA18" s="46">
        <v>12647</v>
      </c>
      <c r="BB18" s="46">
        <v>35817</v>
      </c>
      <c r="BC18" s="46">
        <f t="shared" si="21"/>
        <v>48464</v>
      </c>
      <c r="BD18" s="46">
        <v>76.459999999999994</v>
      </c>
      <c r="BE18" s="46">
        <v>215829.88</v>
      </c>
      <c r="BF18" s="46">
        <f t="shared" si="22"/>
        <v>215906.34</v>
      </c>
      <c r="BG18" s="46">
        <v>5025</v>
      </c>
      <c r="BH18" s="46">
        <v>307</v>
      </c>
      <c r="BI18" s="46">
        <f t="shared" si="23"/>
        <v>5332</v>
      </c>
      <c r="BJ18" s="46">
        <v>4548</v>
      </c>
      <c r="BK18" s="46">
        <v>14596</v>
      </c>
      <c r="BL18" s="46">
        <f t="shared" si="2"/>
        <v>19144</v>
      </c>
      <c r="BM18" s="46">
        <v>11898</v>
      </c>
      <c r="BN18" s="46">
        <v>62801</v>
      </c>
      <c r="BO18" s="46">
        <f t="shared" si="24"/>
        <v>74699</v>
      </c>
      <c r="BP18" s="46">
        <v>26391</v>
      </c>
      <c r="BQ18" s="46">
        <v>122259</v>
      </c>
      <c r="BR18" s="46">
        <f t="shared" si="25"/>
        <v>148650</v>
      </c>
      <c r="BS18" s="46">
        <v>48924</v>
      </c>
      <c r="BT18" s="46">
        <v>271803</v>
      </c>
      <c r="BU18" s="46">
        <f t="shared" si="26"/>
        <v>320727</v>
      </c>
      <c r="BV18" s="46">
        <v>49581</v>
      </c>
      <c r="BW18" s="46">
        <v>566325</v>
      </c>
      <c r="BX18" s="46">
        <f t="shared" si="3"/>
        <v>615906</v>
      </c>
      <c r="BY18" s="46">
        <v>66917</v>
      </c>
      <c r="BZ18" s="46">
        <v>95451</v>
      </c>
      <c r="CA18" s="46">
        <f t="shared" si="27"/>
        <v>162368</v>
      </c>
      <c r="CB18" s="46">
        <v>64361</v>
      </c>
      <c r="CC18" s="46">
        <v>300622</v>
      </c>
      <c r="CD18" s="46">
        <f t="shared" si="28"/>
        <v>364983</v>
      </c>
      <c r="CE18" s="46">
        <v>200893</v>
      </c>
      <c r="CF18" s="46">
        <v>475463</v>
      </c>
      <c r="CG18" s="46">
        <f t="shared" si="29"/>
        <v>676356</v>
      </c>
      <c r="CH18" s="46">
        <v>7075</v>
      </c>
      <c r="CI18" s="46">
        <v>383799</v>
      </c>
      <c r="CJ18" s="46">
        <f t="shared" si="4"/>
        <v>390874</v>
      </c>
      <c r="CK18" s="46">
        <v>48878</v>
      </c>
      <c r="CL18" s="46">
        <v>493009</v>
      </c>
      <c r="CM18" s="46">
        <f t="shared" si="30"/>
        <v>541887</v>
      </c>
      <c r="CN18" s="46">
        <v>16162</v>
      </c>
      <c r="CO18" s="46">
        <v>51739</v>
      </c>
      <c r="CP18" s="46">
        <f t="shared" si="5"/>
        <v>67901</v>
      </c>
    </row>
    <row r="19" spans="1:94" ht="15" customHeight="1" x14ac:dyDescent="0.25">
      <c r="A19" s="47" t="s">
        <v>164</v>
      </c>
      <c r="B19" s="46"/>
      <c r="C19" s="46"/>
      <c r="D19" s="46">
        <f t="shared" si="0"/>
        <v>0</v>
      </c>
      <c r="E19" s="46"/>
      <c r="F19" s="46"/>
      <c r="G19" s="46">
        <f t="shared" si="6"/>
        <v>0</v>
      </c>
      <c r="H19" s="46">
        <v>35</v>
      </c>
      <c r="I19" s="46">
        <v>130</v>
      </c>
      <c r="J19" s="46">
        <f t="shared" si="1"/>
        <v>165</v>
      </c>
      <c r="K19" s="46">
        <v>12001</v>
      </c>
      <c r="L19" s="46">
        <v>27576</v>
      </c>
      <c r="M19" s="46">
        <f t="shared" si="7"/>
        <v>39577</v>
      </c>
      <c r="N19" s="46">
        <v>712</v>
      </c>
      <c r="O19" s="46"/>
      <c r="P19" s="46">
        <f t="shared" si="8"/>
        <v>712</v>
      </c>
      <c r="Q19" s="46">
        <v>419</v>
      </c>
      <c r="R19" s="46">
        <v>2921</v>
      </c>
      <c r="S19" s="46">
        <f t="shared" si="9"/>
        <v>3340</v>
      </c>
      <c r="T19" s="46">
        <v>7937.98</v>
      </c>
      <c r="U19" s="46">
        <v>9701.98</v>
      </c>
      <c r="V19" s="46">
        <f t="shared" si="10"/>
        <v>17639.96</v>
      </c>
      <c r="W19" s="46">
        <v>485</v>
      </c>
      <c r="X19" s="46">
        <v>999</v>
      </c>
      <c r="Y19" s="46">
        <f t="shared" si="11"/>
        <v>1484</v>
      </c>
      <c r="Z19" s="46">
        <f>-226.23+1198.35</f>
        <v>972.11999999999989</v>
      </c>
      <c r="AA19" s="46">
        <f>-759.76+4024.44</f>
        <v>3264.6800000000003</v>
      </c>
      <c r="AB19" s="46">
        <f t="shared" si="12"/>
        <v>4236.8</v>
      </c>
      <c r="AC19" s="46">
        <v>2016</v>
      </c>
      <c r="AD19" s="46"/>
      <c r="AE19" s="46">
        <f t="shared" si="13"/>
        <v>2016</v>
      </c>
      <c r="AF19" s="46"/>
      <c r="AG19" s="46"/>
      <c r="AH19" s="46">
        <f t="shared" si="14"/>
        <v>0</v>
      </c>
      <c r="AI19" s="46"/>
      <c r="AJ19" s="46"/>
      <c r="AK19" s="46">
        <f t="shared" si="15"/>
        <v>0</v>
      </c>
      <c r="AL19" s="46">
        <v>61</v>
      </c>
      <c r="AM19" s="46">
        <v>219</v>
      </c>
      <c r="AN19" s="46">
        <f t="shared" si="16"/>
        <v>280</v>
      </c>
      <c r="AO19" s="46">
        <v>490</v>
      </c>
      <c r="AP19" s="46">
        <v>1597</v>
      </c>
      <c r="AQ19" s="46">
        <f t="shared" ref="AQ19" si="31">AP19+AO19</f>
        <v>2087</v>
      </c>
      <c r="AR19" s="46"/>
      <c r="AS19" s="46"/>
      <c r="AT19" s="46">
        <f t="shared" si="18"/>
        <v>0</v>
      </c>
      <c r="AU19" s="46">
        <v>938.47</v>
      </c>
      <c r="AV19" s="46">
        <v>7059.16</v>
      </c>
      <c r="AW19" s="46">
        <f t="shared" si="19"/>
        <v>7997.63</v>
      </c>
      <c r="AX19" s="46"/>
      <c r="AY19" s="46"/>
      <c r="AZ19" s="46">
        <f t="shared" si="20"/>
        <v>0</v>
      </c>
      <c r="BA19" s="46"/>
      <c r="BB19" s="46">
        <v>50</v>
      </c>
      <c r="BC19" s="46">
        <f t="shared" si="21"/>
        <v>50</v>
      </c>
      <c r="BD19" s="46"/>
      <c r="BE19" s="46"/>
      <c r="BF19" s="46">
        <f t="shared" si="22"/>
        <v>0</v>
      </c>
      <c r="BG19" s="46">
        <v>2080</v>
      </c>
      <c r="BH19" s="46">
        <v>2079</v>
      </c>
      <c r="BI19" s="46">
        <f t="shared" si="23"/>
        <v>4159</v>
      </c>
      <c r="BJ19" s="46"/>
      <c r="BK19" s="46"/>
      <c r="BL19" s="46">
        <f t="shared" si="2"/>
        <v>0</v>
      </c>
      <c r="BM19" s="46">
        <f>1998-404</f>
        <v>1594</v>
      </c>
      <c r="BN19" s="46">
        <f>10548-2132</f>
        <v>8416</v>
      </c>
      <c r="BO19" s="46">
        <f t="shared" si="24"/>
        <v>10010</v>
      </c>
      <c r="BP19" s="46">
        <v>2298</v>
      </c>
      <c r="BQ19" s="46">
        <v>10644</v>
      </c>
      <c r="BR19" s="46">
        <f t="shared" si="25"/>
        <v>12942</v>
      </c>
      <c r="BS19" s="46">
        <v>23523</v>
      </c>
      <c r="BT19" s="46">
        <v>7454</v>
      </c>
      <c r="BU19" s="46">
        <f t="shared" si="26"/>
        <v>30977</v>
      </c>
      <c r="BV19" s="46"/>
      <c r="BW19" s="46"/>
      <c r="BX19" s="46">
        <f t="shared" si="3"/>
        <v>0</v>
      </c>
      <c r="BY19" s="46">
        <v>10431</v>
      </c>
      <c r="BZ19" s="46">
        <v>14879</v>
      </c>
      <c r="CA19" s="46">
        <f t="shared" si="27"/>
        <v>25310</v>
      </c>
      <c r="CB19" s="46">
        <f>5034+4268+831</f>
        <v>10133</v>
      </c>
      <c r="CC19" s="46">
        <f>23513+19935+3881</f>
        <v>47329</v>
      </c>
      <c r="CD19" s="46">
        <f t="shared" si="28"/>
        <v>57462</v>
      </c>
      <c r="CE19" s="46">
        <v>106191</v>
      </c>
      <c r="CF19" s="46">
        <v>245204</v>
      </c>
      <c r="CG19" s="46">
        <f t="shared" si="29"/>
        <v>351395</v>
      </c>
      <c r="CH19" s="46">
        <v>142672</v>
      </c>
      <c r="CI19" s="46"/>
      <c r="CJ19" s="46">
        <f t="shared" si="4"/>
        <v>142672</v>
      </c>
      <c r="CK19" s="46">
        <v>18861</v>
      </c>
      <c r="CL19" s="46">
        <v>190244</v>
      </c>
      <c r="CM19" s="46">
        <f t="shared" si="30"/>
        <v>209105</v>
      </c>
      <c r="CN19" s="46">
        <v>122</v>
      </c>
      <c r="CO19" s="46">
        <v>391</v>
      </c>
      <c r="CP19" s="46">
        <f t="shared" si="5"/>
        <v>513</v>
      </c>
    </row>
    <row r="20" spans="1:94" s="49" customFormat="1" ht="15" customHeight="1" x14ac:dyDescent="0.25">
      <c r="A20" s="45" t="s">
        <v>165</v>
      </c>
      <c r="B20" s="48">
        <f t="shared" ref="B20:AG20" si="32">SUM(B6:B19)</f>
        <v>21543</v>
      </c>
      <c r="C20" s="48">
        <f t="shared" si="32"/>
        <v>48174</v>
      </c>
      <c r="D20" s="48">
        <f t="shared" si="32"/>
        <v>69717</v>
      </c>
      <c r="E20" s="48">
        <f t="shared" si="32"/>
        <v>28350</v>
      </c>
      <c r="F20" s="48">
        <f t="shared" si="32"/>
        <v>92682</v>
      </c>
      <c r="G20" s="48">
        <f t="shared" si="32"/>
        <v>121032</v>
      </c>
      <c r="H20" s="48">
        <f t="shared" si="32"/>
        <v>262925</v>
      </c>
      <c r="I20" s="48">
        <f t="shared" si="32"/>
        <v>971052</v>
      </c>
      <c r="J20" s="48">
        <f t="shared" si="32"/>
        <v>1233977</v>
      </c>
      <c r="K20" s="48">
        <f t="shared" si="32"/>
        <v>449515</v>
      </c>
      <c r="L20" s="48">
        <f t="shared" si="32"/>
        <v>1681236</v>
      </c>
      <c r="M20" s="48">
        <f t="shared" si="32"/>
        <v>2130751</v>
      </c>
      <c r="N20" s="48">
        <f t="shared" si="32"/>
        <v>80666</v>
      </c>
      <c r="O20" s="48">
        <f t="shared" si="32"/>
        <v>164056</v>
      </c>
      <c r="P20" s="48">
        <f t="shared" si="32"/>
        <v>244722</v>
      </c>
      <c r="Q20" s="48">
        <f t="shared" si="32"/>
        <v>128890</v>
      </c>
      <c r="R20" s="48">
        <f t="shared" si="32"/>
        <v>897496</v>
      </c>
      <c r="S20" s="48">
        <f t="shared" si="32"/>
        <v>1026386</v>
      </c>
      <c r="T20" s="48">
        <f t="shared" si="32"/>
        <v>556453.68000000005</v>
      </c>
      <c r="U20" s="48">
        <f t="shared" si="32"/>
        <v>680110.05999999994</v>
      </c>
      <c r="V20" s="48">
        <f t="shared" si="32"/>
        <v>1236563.74</v>
      </c>
      <c r="W20" s="48">
        <f t="shared" si="32"/>
        <v>3521</v>
      </c>
      <c r="X20" s="48">
        <f t="shared" si="32"/>
        <v>13518</v>
      </c>
      <c r="Y20" s="48">
        <f t="shared" si="32"/>
        <v>17039</v>
      </c>
      <c r="Z20" s="48">
        <f t="shared" si="32"/>
        <v>120690.45</v>
      </c>
      <c r="AA20" s="48">
        <f t="shared" si="32"/>
        <v>405318.70999999996</v>
      </c>
      <c r="AB20" s="48">
        <f t="shared" si="32"/>
        <v>526009.16</v>
      </c>
      <c r="AC20" s="48">
        <f t="shared" si="32"/>
        <v>116840</v>
      </c>
      <c r="AD20" s="48">
        <f t="shared" si="32"/>
        <v>448568</v>
      </c>
      <c r="AE20" s="48">
        <f t="shared" si="32"/>
        <v>565408</v>
      </c>
      <c r="AF20" s="48">
        <f t="shared" si="32"/>
        <v>339527</v>
      </c>
      <c r="AG20" s="48">
        <f t="shared" si="32"/>
        <v>1231682</v>
      </c>
      <c r="AH20" s="48">
        <f t="shared" ref="AH20:BM20" si="33">SUM(AH6:AH19)</f>
        <v>1571209</v>
      </c>
      <c r="AI20" s="48">
        <f t="shared" si="33"/>
        <v>759343</v>
      </c>
      <c r="AJ20" s="48">
        <f t="shared" si="33"/>
        <v>2540471</v>
      </c>
      <c r="AK20" s="48">
        <f t="shared" si="33"/>
        <v>3299814</v>
      </c>
      <c r="AL20" s="48">
        <f t="shared" si="33"/>
        <v>213687</v>
      </c>
      <c r="AM20" s="48">
        <f t="shared" si="33"/>
        <v>769270</v>
      </c>
      <c r="AN20" s="48">
        <f t="shared" si="33"/>
        <v>982957</v>
      </c>
      <c r="AO20" s="48">
        <f t="shared" si="33"/>
        <v>23999</v>
      </c>
      <c r="AP20" s="48">
        <f t="shared" si="33"/>
        <v>83664</v>
      </c>
      <c r="AQ20" s="48">
        <f t="shared" si="33"/>
        <v>107663</v>
      </c>
      <c r="AR20" s="48">
        <f t="shared" si="33"/>
        <v>71348</v>
      </c>
      <c r="AS20" s="48">
        <f t="shared" si="33"/>
        <v>183813</v>
      </c>
      <c r="AT20" s="48">
        <f t="shared" si="33"/>
        <v>255161</v>
      </c>
      <c r="AU20" s="48">
        <f t="shared" si="33"/>
        <v>38510.53</v>
      </c>
      <c r="AV20" s="48">
        <f t="shared" si="33"/>
        <v>289677.15999999997</v>
      </c>
      <c r="AW20" s="48">
        <f t="shared" si="33"/>
        <v>328187.69</v>
      </c>
      <c r="AX20" s="48">
        <f t="shared" si="33"/>
        <v>22178.93</v>
      </c>
      <c r="AY20" s="48">
        <f t="shared" si="33"/>
        <v>47263.82</v>
      </c>
      <c r="AZ20" s="48">
        <f t="shared" si="33"/>
        <v>69442.75</v>
      </c>
      <c r="BA20" s="48">
        <f t="shared" si="33"/>
        <v>57679</v>
      </c>
      <c r="BB20" s="48">
        <f t="shared" si="33"/>
        <v>118148</v>
      </c>
      <c r="BC20" s="48">
        <f t="shared" si="33"/>
        <v>175827</v>
      </c>
      <c r="BD20" s="48">
        <f t="shared" si="33"/>
        <v>901.1</v>
      </c>
      <c r="BE20" s="48">
        <f t="shared" si="33"/>
        <v>2543502.6100000003</v>
      </c>
      <c r="BF20" s="48">
        <f t="shared" si="33"/>
        <v>2544403.71</v>
      </c>
      <c r="BG20" s="48">
        <f t="shared" si="33"/>
        <v>20782</v>
      </c>
      <c r="BH20" s="48">
        <f t="shared" si="33"/>
        <v>25395</v>
      </c>
      <c r="BI20" s="48">
        <f t="shared" si="33"/>
        <v>46177</v>
      </c>
      <c r="BJ20" s="48">
        <f t="shared" si="33"/>
        <v>15426</v>
      </c>
      <c r="BK20" s="48">
        <f t="shared" si="33"/>
        <v>49506</v>
      </c>
      <c r="BL20" s="48">
        <f t="shared" si="33"/>
        <v>64932</v>
      </c>
      <c r="BM20" s="48">
        <f t="shared" si="33"/>
        <v>168444</v>
      </c>
      <c r="BN20" s="48">
        <f t="shared" ref="BN20:CP20" si="34">SUM(BN6:BN19)</f>
        <v>889085</v>
      </c>
      <c r="BO20" s="48">
        <f t="shared" si="34"/>
        <v>1057529</v>
      </c>
      <c r="BP20" s="48">
        <f t="shared" si="34"/>
        <v>98249</v>
      </c>
      <c r="BQ20" s="48">
        <f t="shared" si="34"/>
        <v>455142</v>
      </c>
      <c r="BR20" s="48">
        <f t="shared" si="34"/>
        <v>553391</v>
      </c>
      <c r="BS20" s="48">
        <f t="shared" si="34"/>
        <v>244560</v>
      </c>
      <c r="BT20" s="48">
        <f t="shared" si="34"/>
        <v>696588</v>
      </c>
      <c r="BU20" s="48">
        <f t="shared" si="34"/>
        <v>941148</v>
      </c>
      <c r="BV20" s="48">
        <f t="shared" si="34"/>
        <v>163947</v>
      </c>
      <c r="BW20" s="48">
        <f t="shared" si="34"/>
        <v>885457</v>
      </c>
      <c r="BX20" s="48">
        <f t="shared" si="34"/>
        <v>1049404</v>
      </c>
      <c r="BY20" s="48">
        <f t="shared" si="34"/>
        <v>320317</v>
      </c>
      <c r="BZ20" s="48">
        <f t="shared" si="34"/>
        <v>456906</v>
      </c>
      <c r="CA20" s="48">
        <f t="shared" si="34"/>
        <v>777223</v>
      </c>
      <c r="CB20" s="48">
        <f t="shared" si="34"/>
        <v>296890</v>
      </c>
      <c r="CC20" s="48">
        <f t="shared" si="34"/>
        <v>1386741</v>
      </c>
      <c r="CD20" s="48">
        <f t="shared" si="34"/>
        <v>1683631</v>
      </c>
      <c r="CE20" s="48">
        <f t="shared" si="34"/>
        <v>2020627</v>
      </c>
      <c r="CF20" s="48">
        <f t="shared" si="34"/>
        <v>4559670</v>
      </c>
      <c r="CG20" s="48">
        <f t="shared" si="34"/>
        <v>6580297</v>
      </c>
      <c r="CH20" s="48">
        <f t="shared" si="34"/>
        <v>183891</v>
      </c>
      <c r="CI20" s="48">
        <f t="shared" si="34"/>
        <v>2236112</v>
      </c>
      <c r="CJ20" s="48">
        <f t="shared" si="34"/>
        <v>2420003</v>
      </c>
      <c r="CK20" s="48">
        <f t="shared" si="34"/>
        <v>302327</v>
      </c>
      <c r="CL20" s="48">
        <f t="shared" si="34"/>
        <v>3049416</v>
      </c>
      <c r="CM20" s="48">
        <f t="shared" si="34"/>
        <v>3351743</v>
      </c>
      <c r="CN20" s="48">
        <f t="shared" si="34"/>
        <v>62889</v>
      </c>
      <c r="CO20" s="48">
        <f t="shared" si="34"/>
        <v>201325</v>
      </c>
      <c r="CP20" s="48">
        <f t="shared" si="34"/>
        <v>264214</v>
      </c>
    </row>
    <row r="21" spans="1:94" ht="15" customHeight="1" x14ac:dyDescent="0.25">
      <c r="A21" s="45" t="s">
        <v>166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</row>
    <row r="22" spans="1:94" ht="30" x14ac:dyDescent="0.25">
      <c r="A22" s="47" t="s">
        <v>155</v>
      </c>
      <c r="B22" s="46">
        <v>928</v>
      </c>
      <c r="C22" s="46">
        <v>2076</v>
      </c>
      <c r="D22" s="46">
        <f t="shared" ref="D22:D35" si="35">B22+C22</f>
        <v>3004</v>
      </c>
      <c r="E22" s="46">
        <v>2405</v>
      </c>
      <c r="F22" s="46">
        <v>1987</v>
      </c>
      <c r="G22" s="46">
        <f t="shared" ref="G22:G35" si="36">F22+E22</f>
        <v>4392</v>
      </c>
      <c r="H22" s="46">
        <v>28618</v>
      </c>
      <c r="I22" s="46">
        <v>105694</v>
      </c>
      <c r="J22" s="46">
        <f t="shared" ref="J22:J23" si="37">I22+H22</f>
        <v>134312</v>
      </c>
      <c r="K22" s="46"/>
      <c r="L22" s="46"/>
      <c r="M22" s="46">
        <f t="shared" ref="M22:M35" si="38">L22+K22</f>
        <v>0</v>
      </c>
      <c r="N22" s="46">
        <v>1497</v>
      </c>
      <c r="O22" s="46">
        <v>6010</v>
      </c>
      <c r="P22" s="46">
        <f t="shared" ref="P22:P35" si="39">O22+N22</f>
        <v>7507</v>
      </c>
      <c r="Q22" s="46">
        <v>84</v>
      </c>
      <c r="R22" s="46">
        <v>582</v>
      </c>
      <c r="S22" s="46">
        <f t="shared" ref="S22:S35" si="40">R22+Q22</f>
        <v>666</v>
      </c>
      <c r="T22" s="46">
        <v>16507.349999999999</v>
      </c>
      <c r="U22" s="46">
        <v>20175.650000000001</v>
      </c>
      <c r="V22" s="46">
        <f t="shared" ref="V22:V35" si="41">U22+T22</f>
        <v>36683</v>
      </c>
      <c r="W22" s="46">
        <v>1024</v>
      </c>
      <c r="X22" s="46">
        <v>2042</v>
      </c>
      <c r="Y22" s="46">
        <f t="shared" ref="Y22:Y35" si="42">X22+W22</f>
        <v>3066</v>
      </c>
      <c r="Z22" s="46">
        <v>1300.44</v>
      </c>
      <c r="AA22" s="46">
        <v>4367.32</v>
      </c>
      <c r="AB22" s="46">
        <f t="shared" ref="AB22:AB35" si="43">AA22+Z22</f>
        <v>5667.76</v>
      </c>
      <c r="AC22" s="46"/>
      <c r="AD22" s="46">
        <v>5700</v>
      </c>
      <c r="AE22" s="46">
        <f t="shared" ref="AE22:AE35" si="44">AD22+AC22</f>
        <v>5700</v>
      </c>
      <c r="AF22" s="46">
        <v>2616</v>
      </c>
      <c r="AG22" s="46">
        <v>9491</v>
      </c>
      <c r="AH22" s="46">
        <f t="shared" ref="AH22:AH35" si="45">AG22+AF22</f>
        <v>12107</v>
      </c>
      <c r="AI22" s="46">
        <v>8318</v>
      </c>
      <c r="AJ22" s="46">
        <v>27435</v>
      </c>
      <c r="AK22" s="46">
        <f t="shared" ref="AK22:AK35" si="46">AJ22+AI22</f>
        <v>35753</v>
      </c>
      <c r="AL22" s="46">
        <v>13512</v>
      </c>
      <c r="AM22" s="46">
        <v>48642</v>
      </c>
      <c r="AN22" s="46">
        <f t="shared" ref="AN22:AN35" si="47">AM22+AL22</f>
        <v>62154</v>
      </c>
      <c r="AO22" s="46">
        <v>235</v>
      </c>
      <c r="AP22" s="46">
        <v>765</v>
      </c>
      <c r="AQ22" s="46">
        <f t="shared" ref="AQ22:AQ35" si="48">AP22+AO22</f>
        <v>1000</v>
      </c>
      <c r="AR22" s="46">
        <v>3365</v>
      </c>
      <c r="AS22" s="46">
        <v>8670</v>
      </c>
      <c r="AT22" s="46">
        <f t="shared" ref="AT22:AT35" si="49">AS22+AR22</f>
        <v>12035</v>
      </c>
      <c r="AU22" s="46"/>
      <c r="AV22" s="46"/>
      <c r="AW22" s="46">
        <f t="shared" ref="AW22:AW35" si="50">AV22+AU22</f>
        <v>0</v>
      </c>
      <c r="AX22" s="46">
        <v>1502.42</v>
      </c>
      <c r="AY22" s="46">
        <v>2008.35</v>
      </c>
      <c r="AZ22" s="46">
        <f t="shared" ref="AZ22:AZ35" si="51">AY22+AX22</f>
        <v>3510.77</v>
      </c>
      <c r="BA22" s="46">
        <v>1028</v>
      </c>
      <c r="BB22" s="46">
        <v>3471</v>
      </c>
      <c r="BC22" s="46">
        <f t="shared" ref="BC22:BC35" si="52">BB22+BA22</f>
        <v>4499</v>
      </c>
      <c r="BD22" s="46">
        <v>64.819999999999993</v>
      </c>
      <c r="BE22" s="46">
        <v>182952.87</v>
      </c>
      <c r="BF22" s="46">
        <f t="shared" ref="BF22:BF35" si="53">BE22+BD22</f>
        <v>183017.69</v>
      </c>
      <c r="BG22" s="46"/>
      <c r="BH22" s="46"/>
      <c r="BI22" s="46">
        <f t="shared" ref="BI22:BI35" si="54">BH22+BG22</f>
        <v>0</v>
      </c>
      <c r="BJ22" s="46"/>
      <c r="BK22" s="46"/>
      <c r="BL22" s="46">
        <f t="shared" ref="BL22" si="55">BK22+BJ22</f>
        <v>0</v>
      </c>
      <c r="BM22" s="46"/>
      <c r="BN22" s="46"/>
      <c r="BO22" s="46">
        <f t="shared" ref="BO22:BO35" si="56">BN22+BM22</f>
        <v>0</v>
      </c>
      <c r="BP22" s="46">
        <v>1792</v>
      </c>
      <c r="BQ22" s="46">
        <v>8301</v>
      </c>
      <c r="BR22" s="46">
        <f t="shared" ref="BR22:BR35" si="57">BQ22+BP22</f>
        <v>10093</v>
      </c>
      <c r="BS22" s="46"/>
      <c r="BT22" s="46"/>
      <c r="BU22" s="46">
        <f t="shared" ref="BU22:BU35" si="58">BT22+BS22</f>
        <v>0</v>
      </c>
      <c r="BV22" s="46"/>
      <c r="BW22" s="46"/>
      <c r="BX22" s="46">
        <f t="shared" ref="BX22:BX23" si="59">BW22+BV22</f>
        <v>0</v>
      </c>
      <c r="BY22" s="46">
        <v>18509</v>
      </c>
      <c r="BZ22" s="46">
        <v>26402</v>
      </c>
      <c r="CA22" s="46">
        <f t="shared" ref="CA22:CA35" si="60">BZ22+BY22</f>
        <v>44911</v>
      </c>
      <c r="CB22" s="46"/>
      <c r="CC22" s="46"/>
      <c r="CD22" s="46">
        <f t="shared" ref="CD22:CD35" si="61">CC22+CB22</f>
        <v>0</v>
      </c>
      <c r="CE22" s="46">
        <v>66985</v>
      </c>
      <c r="CF22" s="46">
        <v>158537</v>
      </c>
      <c r="CG22" s="46">
        <f t="shared" ref="CG22:CG35" si="62">CF22+CE22</f>
        <v>225522</v>
      </c>
      <c r="CH22" s="46"/>
      <c r="CI22" s="46"/>
      <c r="CJ22" s="46">
        <f t="shared" ref="CJ22:CJ35" si="63">CI22+CH22</f>
        <v>0</v>
      </c>
      <c r="CK22" s="46">
        <v>7122</v>
      </c>
      <c r="CL22" s="46">
        <v>71834</v>
      </c>
      <c r="CM22" s="46">
        <f t="shared" ref="CM22:CM35" si="64">CL22+CK22</f>
        <v>78956</v>
      </c>
      <c r="CN22" s="46">
        <v>4917</v>
      </c>
      <c r="CO22" s="46">
        <v>15741</v>
      </c>
      <c r="CP22" s="46">
        <f t="shared" ref="CP22" si="65">CO22+CN22</f>
        <v>20658</v>
      </c>
    </row>
    <row r="23" spans="1:94" ht="15" customHeight="1" x14ac:dyDescent="0.25">
      <c r="A23" s="47" t="s">
        <v>156</v>
      </c>
      <c r="B23" s="46"/>
      <c r="C23" s="46"/>
      <c r="D23" s="46">
        <f t="shared" si="35"/>
        <v>0</v>
      </c>
      <c r="E23" s="46">
        <v>1018</v>
      </c>
      <c r="F23" s="46"/>
      <c r="G23" s="46">
        <f t="shared" si="36"/>
        <v>1018</v>
      </c>
      <c r="H23" s="46">
        <v>2197</v>
      </c>
      <c r="I23" s="46">
        <v>8114</v>
      </c>
      <c r="J23" s="46">
        <f t="shared" si="37"/>
        <v>10311</v>
      </c>
      <c r="K23" s="46"/>
      <c r="L23" s="46"/>
      <c r="M23" s="46">
        <f t="shared" si="38"/>
        <v>0</v>
      </c>
      <c r="N23" s="46">
        <v>652</v>
      </c>
      <c r="O23" s="46">
        <v>1501</v>
      </c>
      <c r="P23" s="46">
        <f t="shared" si="39"/>
        <v>2153</v>
      </c>
      <c r="Q23" s="46"/>
      <c r="R23" s="46"/>
      <c r="S23" s="46">
        <f t="shared" si="40"/>
        <v>0</v>
      </c>
      <c r="T23" s="46"/>
      <c r="U23" s="46"/>
      <c r="V23" s="46">
        <f t="shared" si="41"/>
        <v>0</v>
      </c>
      <c r="W23" s="46">
        <v>1212</v>
      </c>
      <c r="X23" s="46">
        <v>6944</v>
      </c>
      <c r="Y23" s="46">
        <f t="shared" si="42"/>
        <v>8156</v>
      </c>
      <c r="Z23" s="46"/>
      <c r="AA23" s="46"/>
      <c r="AB23" s="46">
        <f t="shared" si="43"/>
        <v>0</v>
      </c>
      <c r="AC23" s="46">
        <v>2008</v>
      </c>
      <c r="AD23" s="46">
        <v>5445</v>
      </c>
      <c r="AE23" s="46">
        <f t="shared" si="44"/>
        <v>7453</v>
      </c>
      <c r="AF23" s="46">
        <v>453</v>
      </c>
      <c r="AG23" s="46">
        <v>1643</v>
      </c>
      <c r="AH23" s="46">
        <f t="shared" si="45"/>
        <v>2096</v>
      </c>
      <c r="AI23" s="46">
        <v>18681</v>
      </c>
      <c r="AJ23" s="46">
        <v>61618</v>
      </c>
      <c r="AK23" s="46">
        <f t="shared" si="46"/>
        <v>80299</v>
      </c>
      <c r="AL23" s="46">
        <v>22691</v>
      </c>
      <c r="AM23" s="46">
        <v>81687</v>
      </c>
      <c r="AN23" s="46">
        <f t="shared" si="47"/>
        <v>104378</v>
      </c>
      <c r="AO23" s="46"/>
      <c r="AP23" s="46"/>
      <c r="AQ23" s="46">
        <f t="shared" si="48"/>
        <v>0</v>
      </c>
      <c r="AR23" s="46">
        <v>1821</v>
      </c>
      <c r="AS23" s="46">
        <v>4691</v>
      </c>
      <c r="AT23" s="46">
        <f t="shared" si="49"/>
        <v>6512</v>
      </c>
      <c r="AU23" s="46"/>
      <c r="AV23" s="46"/>
      <c r="AW23" s="46">
        <f t="shared" si="50"/>
        <v>0</v>
      </c>
      <c r="AX23" s="46"/>
      <c r="AY23" s="46">
        <v>2506.65</v>
      </c>
      <c r="AZ23" s="46">
        <f t="shared" si="51"/>
        <v>2506.65</v>
      </c>
      <c r="BA23" s="46"/>
      <c r="BB23" s="46"/>
      <c r="BC23" s="46">
        <f t="shared" si="52"/>
        <v>0</v>
      </c>
      <c r="BD23" s="46"/>
      <c r="BE23" s="46"/>
      <c r="BF23" s="46">
        <f t="shared" si="53"/>
        <v>0</v>
      </c>
      <c r="BG23" s="46"/>
      <c r="BH23" s="46">
        <v>1023</v>
      </c>
      <c r="BI23" s="46">
        <f t="shared" si="54"/>
        <v>1023</v>
      </c>
      <c r="BJ23" s="46"/>
      <c r="BK23" s="46"/>
      <c r="BL23" s="46">
        <f t="shared" ref="BL23:BL35" si="66">BK23+BJ23</f>
        <v>0</v>
      </c>
      <c r="BM23" s="46">
        <v>242</v>
      </c>
      <c r="BN23" s="46">
        <v>1279</v>
      </c>
      <c r="BO23" s="46">
        <f t="shared" si="56"/>
        <v>1521</v>
      </c>
      <c r="BP23" s="46"/>
      <c r="BQ23" s="46"/>
      <c r="BR23" s="46">
        <f t="shared" si="57"/>
        <v>0</v>
      </c>
      <c r="BS23" s="46"/>
      <c r="BT23" s="46">
        <v>5831</v>
      </c>
      <c r="BU23" s="46">
        <f t="shared" si="58"/>
        <v>5831</v>
      </c>
      <c r="BV23" s="46">
        <v>9</v>
      </c>
      <c r="BW23" s="46">
        <v>17469</v>
      </c>
      <c r="BX23" s="46">
        <f t="shared" si="59"/>
        <v>17478</v>
      </c>
      <c r="BY23" s="46">
        <v>6501</v>
      </c>
      <c r="BZ23" s="46">
        <v>9273</v>
      </c>
      <c r="CA23" s="46">
        <f t="shared" si="60"/>
        <v>15774</v>
      </c>
      <c r="CB23" s="46"/>
      <c r="CC23" s="46"/>
      <c r="CD23" s="46">
        <f t="shared" si="61"/>
        <v>0</v>
      </c>
      <c r="CE23" s="46"/>
      <c r="CF23" s="46"/>
      <c r="CG23" s="46">
        <f t="shared" si="62"/>
        <v>0</v>
      </c>
      <c r="CH23" s="46">
        <v>1098</v>
      </c>
      <c r="CI23" s="46">
        <v>59578</v>
      </c>
      <c r="CJ23" s="46">
        <f t="shared" si="63"/>
        <v>60676</v>
      </c>
      <c r="CK23" s="46"/>
      <c r="CL23" s="46"/>
      <c r="CM23" s="46"/>
      <c r="CN23" s="46"/>
      <c r="CO23" s="46"/>
      <c r="CP23" s="46">
        <f t="shared" ref="CP23:CP35" si="67">CO23+CN23</f>
        <v>0</v>
      </c>
    </row>
    <row r="24" spans="1:94" ht="15" customHeight="1" x14ac:dyDescent="0.25">
      <c r="A24" s="47" t="s">
        <v>157</v>
      </c>
      <c r="B24" s="46"/>
      <c r="C24" s="46"/>
      <c r="D24" s="46">
        <f t="shared" si="35"/>
        <v>0</v>
      </c>
      <c r="E24" s="46"/>
      <c r="F24" s="46"/>
      <c r="G24" s="46">
        <f t="shared" si="36"/>
        <v>0</v>
      </c>
      <c r="H24" s="46"/>
      <c r="I24" s="46"/>
      <c r="J24" s="46">
        <f t="shared" ref="J24:J35" si="68">I24+H24</f>
        <v>0</v>
      </c>
      <c r="K24" s="46"/>
      <c r="L24" s="46"/>
      <c r="M24" s="46">
        <f t="shared" si="38"/>
        <v>0</v>
      </c>
      <c r="N24" s="46"/>
      <c r="O24" s="46"/>
      <c r="P24" s="46">
        <f t="shared" si="39"/>
        <v>0</v>
      </c>
      <c r="Q24" s="46"/>
      <c r="R24" s="46"/>
      <c r="S24" s="46">
        <f t="shared" si="40"/>
        <v>0</v>
      </c>
      <c r="T24" s="46"/>
      <c r="U24" s="46"/>
      <c r="V24" s="46">
        <f t="shared" si="41"/>
        <v>0</v>
      </c>
      <c r="W24" s="46"/>
      <c r="X24" s="46"/>
      <c r="Y24" s="46">
        <f t="shared" si="42"/>
        <v>0</v>
      </c>
      <c r="Z24" s="46"/>
      <c r="AA24" s="46"/>
      <c r="AB24" s="46">
        <f t="shared" si="43"/>
        <v>0</v>
      </c>
      <c r="AC24" s="46"/>
      <c r="AD24" s="46"/>
      <c r="AE24" s="46">
        <f t="shared" si="44"/>
        <v>0</v>
      </c>
      <c r="AF24" s="46"/>
      <c r="AG24" s="46"/>
      <c r="AH24" s="46">
        <f t="shared" si="45"/>
        <v>0</v>
      </c>
      <c r="AI24" s="46"/>
      <c r="AJ24" s="46"/>
      <c r="AK24" s="46">
        <f t="shared" si="46"/>
        <v>0</v>
      </c>
      <c r="AL24" s="46"/>
      <c r="AM24" s="46"/>
      <c r="AN24" s="46">
        <f t="shared" si="47"/>
        <v>0</v>
      </c>
      <c r="AO24" s="46"/>
      <c r="AP24" s="46"/>
      <c r="AQ24" s="46">
        <f t="shared" si="48"/>
        <v>0</v>
      </c>
      <c r="AR24" s="46"/>
      <c r="AS24" s="46"/>
      <c r="AT24" s="46">
        <f t="shared" si="49"/>
        <v>0</v>
      </c>
      <c r="AU24" s="46"/>
      <c r="AV24" s="46"/>
      <c r="AW24" s="46">
        <f t="shared" si="50"/>
        <v>0</v>
      </c>
      <c r="AX24" s="46"/>
      <c r="AY24" s="46"/>
      <c r="AZ24" s="46">
        <f t="shared" si="51"/>
        <v>0</v>
      </c>
      <c r="BA24" s="46"/>
      <c r="BB24" s="46"/>
      <c r="BC24" s="46">
        <f t="shared" si="52"/>
        <v>0</v>
      </c>
      <c r="BD24" s="46"/>
      <c r="BE24" s="46"/>
      <c r="BF24" s="46">
        <f t="shared" si="53"/>
        <v>0</v>
      </c>
      <c r="BG24" s="46"/>
      <c r="BH24" s="46"/>
      <c r="BI24" s="46">
        <f t="shared" si="54"/>
        <v>0</v>
      </c>
      <c r="BJ24" s="46"/>
      <c r="BK24" s="46"/>
      <c r="BL24" s="46">
        <f t="shared" si="66"/>
        <v>0</v>
      </c>
      <c r="BM24" s="46"/>
      <c r="BN24" s="46"/>
      <c r="BO24" s="46">
        <f t="shared" si="56"/>
        <v>0</v>
      </c>
      <c r="BP24" s="46"/>
      <c r="BQ24" s="46"/>
      <c r="BR24" s="46">
        <f t="shared" si="57"/>
        <v>0</v>
      </c>
      <c r="BS24" s="46"/>
      <c r="BT24" s="46"/>
      <c r="BU24" s="46">
        <f t="shared" si="58"/>
        <v>0</v>
      </c>
      <c r="BV24" s="46"/>
      <c r="BW24" s="46"/>
      <c r="BX24" s="46">
        <f t="shared" ref="BX24:BX34" si="69">BW24+BV24</f>
        <v>0</v>
      </c>
      <c r="BY24" s="46"/>
      <c r="BZ24" s="46"/>
      <c r="CA24" s="46">
        <f t="shared" si="60"/>
        <v>0</v>
      </c>
      <c r="CB24" s="46"/>
      <c r="CC24" s="46"/>
      <c r="CD24" s="46">
        <f t="shared" si="61"/>
        <v>0</v>
      </c>
      <c r="CE24" s="46"/>
      <c r="CF24" s="46"/>
      <c r="CG24" s="46">
        <f t="shared" si="62"/>
        <v>0</v>
      </c>
      <c r="CH24" s="46"/>
      <c r="CI24" s="46"/>
      <c r="CJ24" s="46">
        <f t="shared" si="63"/>
        <v>0</v>
      </c>
      <c r="CK24" s="46"/>
      <c r="CL24" s="46"/>
      <c r="CM24" s="46">
        <f t="shared" si="64"/>
        <v>0</v>
      </c>
      <c r="CN24" s="46"/>
      <c r="CO24" s="46"/>
      <c r="CP24" s="46">
        <f t="shared" si="67"/>
        <v>0</v>
      </c>
    </row>
    <row r="25" spans="1:94" ht="15" customHeight="1" x14ac:dyDescent="0.25">
      <c r="A25" s="47" t="s">
        <v>158</v>
      </c>
      <c r="B25" s="46"/>
      <c r="C25" s="46"/>
      <c r="D25" s="46">
        <f t="shared" si="35"/>
        <v>0</v>
      </c>
      <c r="E25" s="46"/>
      <c r="F25" s="46"/>
      <c r="G25" s="46">
        <f t="shared" si="36"/>
        <v>0</v>
      </c>
      <c r="H25" s="46"/>
      <c r="I25" s="46"/>
      <c r="J25" s="46">
        <f t="shared" si="68"/>
        <v>0</v>
      </c>
      <c r="K25" s="46"/>
      <c r="L25" s="46"/>
      <c r="M25" s="46">
        <f t="shared" si="38"/>
        <v>0</v>
      </c>
      <c r="N25" s="46"/>
      <c r="O25" s="46"/>
      <c r="P25" s="46">
        <f t="shared" si="39"/>
        <v>0</v>
      </c>
      <c r="Q25" s="46"/>
      <c r="R25" s="46"/>
      <c r="S25" s="46">
        <f t="shared" si="40"/>
        <v>0</v>
      </c>
      <c r="T25" s="46"/>
      <c r="U25" s="46"/>
      <c r="V25" s="46">
        <f t="shared" si="41"/>
        <v>0</v>
      </c>
      <c r="W25" s="46"/>
      <c r="X25" s="46"/>
      <c r="Y25" s="46">
        <f t="shared" si="42"/>
        <v>0</v>
      </c>
      <c r="Z25" s="46"/>
      <c r="AA25" s="46"/>
      <c r="AB25" s="46">
        <f t="shared" si="43"/>
        <v>0</v>
      </c>
      <c r="AC25" s="46"/>
      <c r="AD25" s="46"/>
      <c r="AE25" s="46">
        <f t="shared" si="44"/>
        <v>0</v>
      </c>
      <c r="AF25" s="46"/>
      <c r="AG25" s="46"/>
      <c r="AH25" s="46">
        <f t="shared" si="45"/>
        <v>0</v>
      </c>
      <c r="AI25" s="46"/>
      <c r="AJ25" s="46"/>
      <c r="AK25" s="46">
        <f t="shared" si="46"/>
        <v>0</v>
      </c>
      <c r="AL25" s="46"/>
      <c r="AM25" s="46"/>
      <c r="AN25" s="46">
        <f t="shared" si="47"/>
        <v>0</v>
      </c>
      <c r="AO25" s="46"/>
      <c r="AP25" s="46"/>
      <c r="AQ25" s="46">
        <f t="shared" si="48"/>
        <v>0</v>
      </c>
      <c r="AR25" s="46"/>
      <c r="AS25" s="46"/>
      <c r="AT25" s="46">
        <f t="shared" si="49"/>
        <v>0</v>
      </c>
      <c r="AU25" s="46"/>
      <c r="AV25" s="46"/>
      <c r="AW25" s="46">
        <f t="shared" si="50"/>
        <v>0</v>
      </c>
      <c r="AX25" s="46"/>
      <c r="AY25" s="46"/>
      <c r="AZ25" s="46">
        <f t="shared" si="51"/>
        <v>0</v>
      </c>
      <c r="BA25" s="46"/>
      <c r="BB25" s="46"/>
      <c r="BC25" s="46">
        <f t="shared" si="52"/>
        <v>0</v>
      </c>
      <c r="BD25" s="46"/>
      <c r="BE25" s="46"/>
      <c r="BF25" s="46">
        <f t="shared" si="53"/>
        <v>0</v>
      </c>
      <c r="BG25" s="46"/>
      <c r="BH25" s="46"/>
      <c r="BI25" s="46">
        <f t="shared" si="54"/>
        <v>0</v>
      </c>
      <c r="BJ25" s="46"/>
      <c r="BK25" s="46"/>
      <c r="BL25" s="46">
        <f t="shared" si="66"/>
        <v>0</v>
      </c>
      <c r="BM25" s="46"/>
      <c r="BN25" s="46"/>
      <c r="BO25" s="46">
        <f t="shared" si="56"/>
        <v>0</v>
      </c>
      <c r="BP25" s="46"/>
      <c r="BQ25" s="46"/>
      <c r="BR25" s="46">
        <f t="shared" si="57"/>
        <v>0</v>
      </c>
      <c r="BS25" s="46"/>
      <c r="BT25" s="46"/>
      <c r="BU25" s="46">
        <f t="shared" si="58"/>
        <v>0</v>
      </c>
      <c r="BV25" s="46"/>
      <c r="BW25" s="46"/>
      <c r="BX25" s="46">
        <f t="shared" si="69"/>
        <v>0</v>
      </c>
      <c r="BY25" s="46"/>
      <c r="BZ25" s="46"/>
      <c r="CA25" s="46">
        <f t="shared" si="60"/>
        <v>0</v>
      </c>
      <c r="CB25" s="46"/>
      <c r="CC25" s="46"/>
      <c r="CD25" s="46">
        <f t="shared" si="61"/>
        <v>0</v>
      </c>
      <c r="CE25" s="46"/>
      <c r="CF25" s="46"/>
      <c r="CG25" s="46">
        <f t="shared" si="62"/>
        <v>0</v>
      </c>
      <c r="CH25" s="46"/>
      <c r="CI25" s="46"/>
      <c r="CJ25" s="46">
        <f t="shared" si="63"/>
        <v>0</v>
      </c>
      <c r="CK25" s="46"/>
      <c r="CL25" s="46"/>
      <c r="CM25" s="46">
        <f t="shared" si="64"/>
        <v>0</v>
      </c>
      <c r="CN25" s="46"/>
      <c r="CO25" s="46"/>
      <c r="CP25" s="46">
        <f t="shared" si="67"/>
        <v>0</v>
      </c>
    </row>
    <row r="26" spans="1:94" ht="15" customHeight="1" x14ac:dyDescent="0.25">
      <c r="A26" s="47" t="s">
        <v>159</v>
      </c>
      <c r="B26" s="46"/>
      <c r="C26" s="46"/>
      <c r="D26" s="46">
        <f t="shared" si="35"/>
        <v>0</v>
      </c>
      <c r="E26" s="46"/>
      <c r="F26" s="46"/>
      <c r="G26" s="46">
        <f t="shared" si="36"/>
        <v>0</v>
      </c>
      <c r="H26" s="46"/>
      <c r="I26" s="46"/>
      <c r="J26" s="46">
        <f t="shared" si="68"/>
        <v>0</v>
      </c>
      <c r="K26" s="46"/>
      <c r="L26" s="46"/>
      <c r="M26" s="46">
        <f t="shared" si="38"/>
        <v>0</v>
      </c>
      <c r="N26" s="46"/>
      <c r="O26" s="46"/>
      <c r="P26" s="46">
        <f t="shared" si="39"/>
        <v>0</v>
      </c>
      <c r="Q26" s="46"/>
      <c r="R26" s="46"/>
      <c r="S26" s="46">
        <f t="shared" si="40"/>
        <v>0</v>
      </c>
      <c r="T26" s="46"/>
      <c r="U26" s="46"/>
      <c r="V26" s="46">
        <f t="shared" si="41"/>
        <v>0</v>
      </c>
      <c r="W26" s="46">
        <v>1761</v>
      </c>
      <c r="X26" s="46">
        <v>531</v>
      </c>
      <c r="Y26" s="46">
        <f t="shared" si="42"/>
        <v>2292</v>
      </c>
      <c r="Z26" s="46"/>
      <c r="AA26" s="46"/>
      <c r="AB26" s="46">
        <f t="shared" si="43"/>
        <v>0</v>
      </c>
      <c r="AC26" s="46"/>
      <c r="AD26" s="46"/>
      <c r="AE26" s="46">
        <f t="shared" si="44"/>
        <v>0</v>
      </c>
      <c r="AF26" s="46"/>
      <c r="AG26" s="46"/>
      <c r="AH26" s="46">
        <f t="shared" si="45"/>
        <v>0</v>
      </c>
      <c r="AI26" s="46"/>
      <c r="AJ26" s="46"/>
      <c r="AK26" s="46">
        <f t="shared" si="46"/>
        <v>0</v>
      </c>
      <c r="AL26" s="46"/>
      <c r="AM26" s="46"/>
      <c r="AN26" s="46">
        <f t="shared" si="47"/>
        <v>0</v>
      </c>
      <c r="AO26" s="46"/>
      <c r="AP26" s="46"/>
      <c r="AQ26" s="46">
        <f t="shared" si="48"/>
        <v>0</v>
      </c>
      <c r="AR26" s="46"/>
      <c r="AS26" s="46"/>
      <c r="AT26" s="46">
        <f t="shared" si="49"/>
        <v>0</v>
      </c>
      <c r="AU26" s="46"/>
      <c r="AV26" s="46"/>
      <c r="AW26" s="46">
        <f t="shared" si="50"/>
        <v>0</v>
      </c>
      <c r="AX26" s="46"/>
      <c r="AY26" s="46"/>
      <c r="AZ26" s="46">
        <f t="shared" si="51"/>
        <v>0</v>
      </c>
      <c r="BA26" s="46">
        <v>279</v>
      </c>
      <c r="BB26" s="46"/>
      <c r="BC26" s="46">
        <f t="shared" si="52"/>
        <v>279</v>
      </c>
      <c r="BD26" s="46"/>
      <c r="BE26" s="46"/>
      <c r="BF26" s="46">
        <f t="shared" si="53"/>
        <v>0</v>
      </c>
      <c r="BG26" s="46"/>
      <c r="BH26" s="46"/>
      <c r="BI26" s="46">
        <f t="shared" si="54"/>
        <v>0</v>
      </c>
      <c r="BJ26" s="46"/>
      <c r="BK26" s="46"/>
      <c r="BL26" s="46">
        <f t="shared" si="66"/>
        <v>0</v>
      </c>
      <c r="BM26" s="46">
        <v>5375</v>
      </c>
      <c r="BN26" s="46">
        <v>28369</v>
      </c>
      <c r="BO26" s="46">
        <f t="shared" si="56"/>
        <v>33744</v>
      </c>
      <c r="BP26" s="46">
        <v>8378</v>
      </c>
      <c r="BQ26" s="46">
        <v>38809</v>
      </c>
      <c r="BR26" s="46">
        <f t="shared" si="57"/>
        <v>47187</v>
      </c>
      <c r="BS26" s="46"/>
      <c r="BT26" s="46"/>
      <c r="BU26" s="46">
        <f t="shared" si="58"/>
        <v>0</v>
      </c>
      <c r="BV26" s="46"/>
      <c r="BW26" s="46"/>
      <c r="BX26" s="46">
        <f t="shared" si="69"/>
        <v>0</v>
      </c>
      <c r="BY26" s="46"/>
      <c r="BZ26" s="46"/>
      <c r="CA26" s="46">
        <f t="shared" si="60"/>
        <v>0</v>
      </c>
      <c r="CB26" s="46"/>
      <c r="CC26" s="46"/>
      <c r="CD26" s="46">
        <f t="shared" si="61"/>
        <v>0</v>
      </c>
      <c r="CE26" s="46"/>
      <c r="CF26" s="46"/>
      <c r="CG26" s="46">
        <f t="shared" si="62"/>
        <v>0</v>
      </c>
      <c r="CH26" s="46"/>
      <c r="CI26" s="46"/>
      <c r="CJ26" s="46">
        <f t="shared" si="63"/>
        <v>0</v>
      </c>
      <c r="CK26" s="46"/>
      <c r="CL26" s="46"/>
      <c r="CM26" s="46">
        <f t="shared" si="64"/>
        <v>0</v>
      </c>
      <c r="CN26" s="46">
        <v>1095</v>
      </c>
      <c r="CO26" s="46">
        <v>3507</v>
      </c>
      <c r="CP26" s="46">
        <f t="shared" si="67"/>
        <v>4602</v>
      </c>
    </row>
    <row r="27" spans="1:94" ht="15" customHeight="1" x14ac:dyDescent="0.25">
      <c r="A27" s="47" t="s">
        <v>160</v>
      </c>
      <c r="B27" s="46"/>
      <c r="C27" s="46"/>
      <c r="D27" s="46">
        <f t="shared" si="35"/>
        <v>0</v>
      </c>
      <c r="E27" s="46"/>
      <c r="F27" s="46"/>
      <c r="G27" s="46">
        <f t="shared" si="36"/>
        <v>0</v>
      </c>
      <c r="H27" s="46"/>
      <c r="I27" s="46"/>
      <c r="J27" s="46">
        <f t="shared" si="68"/>
        <v>0</v>
      </c>
      <c r="K27" s="46"/>
      <c r="L27" s="46"/>
      <c r="M27" s="46">
        <f t="shared" si="38"/>
        <v>0</v>
      </c>
      <c r="N27" s="46"/>
      <c r="O27" s="46"/>
      <c r="P27" s="46">
        <f t="shared" si="39"/>
        <v>0</v>
      </c>
      <c r="Q27" s="46"/>
      <c r="R27" s="46"/>
      <c r="S27" s="46">
        <f t="shared" si="40"/>
        <v>0</v>
      </c>
      <c r="T27" s="46"/>
      <c r="U27" s="46"/>
      <c r="V27" s="46">
        <f t="shared" si="41"/>
        <v>0</v>
      </c>
      <c r="W27" s="46">
        <v>47</v>
      </c>
      <c r="X27" s="46"/>
      <c r="Y27" s="46">
        <f t="shared" si="42"/>
        <v>47</v>
      </c>
      <c r="Z27" s="46"/>
      <c r="AA27" s="46"/>
      <c r="AB27" s="46">
        <f t="shared" si="43"/>
        <v>0</v>
      </c>
      <c r="AC27" s="46"/>
      <c r="AD27" s="46"/>
      <c r="AE27" s="46">
        <f t="shared" si="44"/>
        <v>0</v>
      </c>
      <c r="AF27" s="46">
        <v>38</v>
      </c>
      <c r="AG27" s="46">
        <v>137</v>
      </c>
      <c r="AH27" s="46">
        <f t="shared" si="45"/>
        <v>175</v>
      </c>
      <c r="AI27" s="46">
        <v>32</v>
      </c>
      <c r="AJ27" s="46">
        <v>106</v>
      </c>
      <c r="AK27" s="46">
        <f t="shared" si="46"/>
        <v>138</v>
      </c>
      <c r="AL27" s="46"/>
      <c r="AM27" s="46"/>
      <c r="AN27" s="46">
        <f t="shared" si="47"/>
        <v>0</v>
      </c>
      <c r="AO27" s="46"/>
      <c r="AP27" s="46"/>
      <c r="AQ27" s="46">
        <f t="shared" si="48"/>
        <v>0</v>
      </c>
      <c r="AR27" s="46"/>
      <c r="AS27" s="46"/>
      <c r="AT27" s="46">
        <f t="shared" si="49"/>
        <v>0</v>
      </c>
      <c r="AU27" s="46">
        <v>22.37</v>
      </c>
      <c r="AV27" s="46">
        <v>168.26</v>
      </c>
      <c r="AW27" s="46">
        <f t="shared" si="50"/>
        <v>190.63</v>
      </c>
      <c r="AX27" s="46"/>
      <c r="AY27" s="46"/>
      <c r="AZ27" s="46">
        <f t="shared" si="51"/>
        <v>0</v>
      </c>
      <c r="BA27" s="46"/>
      <c r="BB27" s="46"/>
      <c r="BC27" s="46">
        <f t="shared" si="52"/>
        <v>0</v>
      </c>
      <c r="BD27" s="46"/>
      <c r="BE27" s="46"/>
      <c r="BF27" s="46">
        <f t="shared" si="53"/>
        <v>0</v>
      </c>
      <c r="BG27" s="46"/>
      <c r="BH27" s="46"/>
      <c r="BI27" s="46">
        <f t="shared" si="54"/>
        <v>0</v>
      </c>
      <c r="BJ27" s="46"/>
      <c r="BK27" s="46"/>
      <c r="BL27" s="46">
        <f t="shared" si="66"/>
        <v>0</v>
      </c>
      <c r="BM27" s="46"/>
      <c r="BN27" s="46"/>
      <c r="BO27" s="46">
        <f t="shared" si="56"/>
        <v>0</v>
      </c>
      <c r="BP27" s="46"/>
      <c r="BQ27" s="46"/>
      <c r="BR27" s="46">
        <f t="shared" si="57"/>
        <v>0</v>
      </c>
      <c r="BS27" s="46"/>
      <c r="BT27" s="46"/>
      <c r="BU27" s="46">
        <f t="shared" si="58"/>
        <v>0</v>
      </c>
      <c r="BV27" s="46"/>
      <c r="BW27" s="46"/>
      <c r="BX27" s="46">
        <f t="shared" si="69"/>
        <v>0</v>
      </c>
      <c r="BY27" s="46"/>
      <c r="BZ27" s="46"/>
      <c r="CA27" s="46">
        <f t="shared" si="60"/>
        <v>0</v>
      </c>
      <c r="CB27" s="46"/>
      <c r="CC27" s="46"/>
      <c r="CD27" s="46">
        <f t="shared" si="61"/>
        <v>0</v>
      </c>
      <c r="CE27" s="46"/>
      <c r="CF27" s="46"/>
      <c r="CG27" s="46">
        <f t="shared" si="62"/>
        <v>0</v>
      </c>
      <c r="CH27" s="46"/>
      <c r="CI27" s="46"/>
      <c r="CJ27" s="46">
        <f t="shared" si="63"/>
        <v>0</v>
      </c>
      <c r="CK27" s="46"/>
      <c r="CL27" s="46"/>
      <c r="CM27" s="46">
        <f t="shared" si="64"/>
        <v>0</v>
      </c>
      <c r="CN27" s="46"/>
      <c r="CO27" s="46"/>
      <c r="CP27" s="46">
        <f t="shared" si="67"/>
        <v>0</v>
      </c>
    </row>
    <row r="28" spans="1:94" ht="15" customHeight="1" x14ac:dyDescent="0.25">
      <c r="A28" s="47" t="s">
        <v>161</v>
      </c>
      <c r="B28" s="46">
        <v>806</v>
      </c>
      <c r="C28" s="46">
        <v>1803</v>
      </c>
      <c r="D28" s="46">
        <f t="shared" si="35"/>
        <v>2609</v>
      </c>
      <c r="E28" s="46">
        <v>1810</v>
      </c>
      <c r="F28" s="46">
        <v>7842</v>
      </c>
      <c r="G28" s="46">
        <f t="shared" si="36"/>
        <v>9652</v>
      </c>
      <c r="H28" s="46">
        <v>33952</v>
      </c>
      <c r="I28" s="46">
        <v>125395</v>
      </c>
      <c r="J28" s="46">
        <f t="shared" si="68"/>
        <v>159347</v>
      </c>
      <c r="K28" s="46">
        <v>40397</v>
      </c>
      <c r="L28" s="46">
        <v>10102</v>
      </c>
      <c r="M28" s="46">
        <f t="shared" si="38"/>
        <v>50499</v>
      </c>
      <c r="N28" s="46">
        <v>9815</v>
      </c>
      <c r="O28" s="46">
        <v>6130</v>
      </c>
      <c r="P28" s="46">
        <f t="shared" si="39"/>
        <v>15945</v>
      </c>
      <c r="Q28" s="46">
        <v>528</v>
      </c>
      <c r="R28" s="46">
        <v>3680</v>
      </c>
      <c r="S28" s="46">
        <f t="shared" si="40"/>
        <v>4208</v>
      </c>
      <c r="T28" s="46">
        <v>6724.13</v>
      </c>
      <c r="U28" s="46">
        <v>8218.3799999999992</v>
      </c>
      <c r="V28" s="46">
        <f t="shared" si="41"/>
        <v>14942.509999999998</v>
      </c>
      <c r="W28" s="46"/>
      <c r="X28" s="46">
        <v>2602</v>
      </c>
      <c r="Y28" s="46">
        <f t="shared" si="42"/>
        <v>2602</v>
      </c>
      <c r="Z28" s="46"/>
      <c r="AA28" s="46"/>
      <c r="AB28" s="46">
        <f t="shared" si="43"/>
        <v>0</v>
      </c>
      <c r="AC28" s="46"/>
      <c r="AD28" s="46"/>
      <c r="AE28" s="46">
        <f t="shared" si="44"/>
        <v>0</v>
      </c>
      <c r="AF28" s="46">
        <v>24597</v>
      </c>
      <c r="AG28" s="46">
        <v>89228</v>
      </c>
      <c r="AH28" s="46">
        <f t="shared" si="45"/>
        <v>113825</v>
      </c>
      <c r="AI28" s="46">
        <v>13377</v>
      </c>
      <c r="AJ28" s="46">
        <v>42483</v>
      </c>
      <c r="AK28" s="46">
        <f t="shared" si="46"/>
        <v>55860</v>
      </c>
      <c r="AL28" s="46">
        <v>4369</v>
      </c>
      <c r="AM28" s="46">
        <v>15726</v>
      </c>
      <c r="AN28" s="46">
        <f t="shared" si="47"/>
        <v>20095</v>
      </c>
      <c r="AO28" s="46"/>
      <c r="AP28" s="46"/>
      <c r="AQ28" s="46">
        <f t="shared" si="48"/>
        <v>0</v>
      </c>
      <c r="AR28" s="46">
        <v>1384</v>
      </c>
      <c r="AS28" s="46">
        <v>3567</v>
      </c>
      <c r="AT28" s="46">
        <f t="shared" si="49"/>
        <v>4951</v>
      </c>
      <c r="AU28" s="46">
        <v>2135.44</v>
      </c>
      <c r="AV28" s="46">
        <v>16062.86</v>
      </c>
      <c r="AW28" s="46">
        <f t="shared" si="50"/>
        <v>18198.3</v>
      </c>
      <c r="AX28" s="46">
        <v>492.84</v>
      </c>
      <c r="AY28" s="46">
        <v>2918.45</v>
      </c>
      <c r="AZ28" s="46">
        <f t="shared" si="51"/>
        <v>3411.29</v>
      </c>
      <c r="BA28" s="46">
        <v>7890</v>
      </c>
      <c r="BB28" s="46">
        <v>167</v>
      </c>
      <c r="BC28" s="46">
        <f>BB28+BA28</f>
        <v>8057</v>
      </c>
      <c r="BD28" s="46">
        <v>29.87</v>
      </c>
      <c r="BE28" s="46">
        <v>84308.03</v>
      </c>
      <c r="BF28" s="46">
        <f t="shared" si="53"/>
        <v>84337.9</v>
      </c>
      <c r="BG28" s="46">
        <v>963</v>
      </c>
      <c r="BH28" s="46">
        <v>1600</v>
      </c>
      <c r="BI28" s="46">
        <f t="shared" si="54"/>
        <v>2563</v>
      </c>
      <c r="BJ28" s="46">
        <v>33</v>
      </c>
      <c r="BK28" s="46">
        <v>106</v>
      </c>
      <c r="BL28" s="46">
        <f t="shared" si="66"/>
        <v>139</v>
      </c>
      <c r="BM28" s="46">
        <v>847</v>
      </c>
      <c r="BN28" s="46">
        <v>4469</v>
      </c>
      <c r="BO28" s="46">
        <f t="shared" si="56"/>
        <v>5316</v>
      </c>
      <c r="BP28" s="46">
        <v>2017</v>
      </c>
      <c r="BQ28" s="46">
        <v>9345</v>
      </c>
      <c r="BR28" s="46">
        <f t="shared" si="57"/>
        <v>11362</v>
      </c>
      <c r="BS28" s="46"/>
      <c r="BT28" s="46"/>
      <c r="BU28" s="46">
        <f t="shared" si="58"/>
        <v>0</v>
      </c>
      <c r="BV28" s="46"/>
      <c r="BW28" s="46"/>
      <c r="BX28" s="46">
        <f t="shared" si="69"/>
        <v>0</v>
      </c>
      <c r="BY28" s="46">
        <v>16564</v>
      </c>
      <c r="BZ28" s="46">
        <v>23627</v>
      </c>
      <c r="CA28" s="46">
        <f t="shared" si="60"/>
        <v>40191</v>
      </c>
      <c r="CB28" s="46">
        <v>1481</v>
      </c>
      <c r="CC28" s="46">
        <v>6918</v>
      </c>
      <c r="CD28" s="46">
        <f t="shared" si="61"/>
        <v>8399</v>
      </c>
      <c r="CE28" s="46">
        <v>40305</v>
      </c>
      <c r="CF28" s="46">
        <v>95392</v>
      </c>
      <c r="CG28" s="46">
        <f t="shared" si="62"/>
        <v>135697</v>
      </c>
      <c r="CH28" s="46">
        <v>2874</v>
      </c>
      <c r="CI28" s="46">
        <v>155924</v>
      </c>
      <c r="CJ28" s="46">
        <f t="shared" si="63"/>
        <v>158798</v>
      </c>
      <c r="CK28" s="46">
        <v>5790</v>
      </c>
      <c r="CL28" s="46">
        <v>58399</v>
      </c>
      <c r="CM28" s="46">
        <f t="shared" si="64"/>
        <v>64189</v>
      </c>
      <c r="CN28" s="46"/>
      <c r="CO28" s="46"/>
      <c r="CP28" s="46">
        <f t="shared" si="67"/>
        <v>0</v>
      </c>
    </row>
    <row r="29" spans="1:94" ht="15" customHeight="1" x14ac:dyDescent="0.25">
      <c r="A29" s="47" t="s">
        <v>299</v>
      </c>
      <c r="B29" s="46"/>
      <c r="C29" s="46"/>
      <c r="D29" s="46"/>
      <c r="E29" s="46"/>
      <c r="F29" s="46"/>
      <c r="G29" s="46"/>
      <c r="H29" s="46"/>
      <c r="I29" s="46"/>
      <c r="J29" s="46">
        <f t="shared" si="68"/>
        <v>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>
        <f t="shared" si="56"/>
        <v>0</v>
      </c>
      <c r="BP29" s="46"/>
      <c r="BQ29" s="46"/>
      <c r="BR29" s="46">
        <f t="shared" si="57"/>
        <v>0</v>
      </c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1:94" ht="15" customHeight="1" x14ac:dyDescent="0.25">
      <c r="A30" s="47" t="s">
        <v>300</v>
      </c>
      <c r="B30" s="46">
        <v>412</v>
      </c>
      <c r="C30" s="46">
        <v>922</v>
      </c>
      <c r="D30" s="46">
        <f t="shared" si="35"/>
        <v>1334</v>
      </c>
      <c r="E30" s="46"/>
      <c r="F30" s="46">
        <v>5991</v>
      </c>
      <c r="G30" s="46">
        <f t="shared" si="36"/>
        <v>5991</v>
      </c>
      <c r="H30" s="46">
        <v>5227</v>
      </c>
      <c r="I30" s="46">
        <v>19304</v>
      </c>
      <c r="J30" s="46">
        <f t="shared" si="68"/>
        <v>24531</v>
      </c>
      <c r="K30" s="46">
        <v>35710</v>
      </c>
      <c r="L30" s="46">
        <v>32848</v>
      </c>
      <c r="M30" s="46">
        <f t="shared" si="38"/>
        <v>68558</v>
      </c>
      <c r="N30" s="46">
        <v>1172</v>
      </c>
      <c r="O30" s="46">
        <v>11129</v>
      </c>
      <c r="P30" s="46">
        <f t="shared" si="39"/>
        <v>12301</v>
      </c>
      <c r="Q30" s="46">
        <v>2013</v>
      </c>
      <c r="R30" s="46">
        <v>14016</v>
      </c>
      <c r="S30" s="46">
        <f t="shared" si="40"/>
        <v>16029</v>
      </c>
      <c r="T30" s="46">
        <v>13107.38</v>
      </c>
      <c r="U30" s="46">
        <v>16020.14</v>
      </c>
      <c r="V30" s="46">
        <f t="shared" si="41"/>
        <v>29127.519999999997</v>
      </c>
      <c r="W30" s="46">
        <v>152</v>
      </c>
      <c r="X30" s="46">
        <v>2343</v>
      </c>
      <c r="Y30" s="46">
        <f t="shared" si="42"/>
        <v>2495</v>
      </c>
      <c r="Z30" s="46">
        <v>1792.93</v>
      </c>
      <c r="AA30" s="46">
        <v>6021.25</v>
      </c>
      <c r="AB30" s="46">
        <f t="shared" si="43"/>
        <v>7814.18</v>
      </c>
      <c r="AC30" s="46">
        <v>5534</v>
      </c>
      <c r="AD30" s="46">
        <v>67545</v>
      </c>
      <c r="AE30" s="46">
        <f t="shared" si="44"/>
        <v>73079</v>
      </c>
      <c r="AF30" s="46">
        <v>10118</v>
      </c>
      <c r="AG30" s="46">
        <v>36705</v>
      </c>
      <c r="AH30" s="46">
        <f t="shared" si="45"/>
        <v>46823</v>
      </c>
      <c r="AI30" s="46">
        <v>12081</v>
      </c>
      <c r="AJ30" s="46">
        <v>39848</v>
      </c>
      <c r="AK30" s="46">
        <f t="shared" si="46"/>
        <v>51929</v>
      </c>
      <c r="AL30" s="46">
        <v>5573</v>
      </c>
      <c r="AM30" s="46">
        <v>20062</v>
      </c>
      <c r="AN30" s="46">
        <f t="shared" si="47"/>
        <v>25635</v>
      </c>
      <c r="AO30" s="46">
        <v>353</v>
      </c>
      <c r="AP30" s="46">
        <v>1150</v>
      </c>
      <c r="AQ30" s="46">
        <f t="shared" si="48"/>
        <v>1503</v>
      </c>
      <c r="AR30" s="46">
        <v>8136</v>
      </c>
      <c r="AS30" s="46">
        <v>20960</v>
      </c>
      <c r="AT30" s="46">
        <f t="shared" si="49"/>
        <v>29096</v>
      </c>
      <c r="AU30" s="46">
        <v>298.97000000000003</v>
      </c>
      <c r="AV30" s="46">
        <v>2248.86</v>
      </c>
      <c r="AW30" s="46">
        <f t="shared" si="50"/>
        <v>2547.83</v>
      </c>
      <c r="AX30" s="46">
        <v>1005.76</v>
      </c>
      <c r="AY30" s="46">
        <v>1512.26</v>
      </c>
      <c r="AZ30" s="46">
        <f t="shared" si="51"/>
        <v>2518.02</v>
      </c>
      <c r="BA30" s="46">
        <v>5503</v>
      </c>
      <c r="BB30" s="46">
        <v>6023</v>
      </c>
      <c r="BC30" s="46">
        <f t="shared" si="52"/>
        <v>11526</v>
      </c>
      <c r="BD30" s="46">
        <v>42.41</v>
      </c>
      <c r="BE30" s="46">
        <v>119707.91</v>
      </c>
      <c r="BF30" s="46">
        <f t="shared" si="53"/>
        <v>119750.32</v>
      </c>
      <c r="BG30" s="46"/>
      <c r="BH30" s="46"/>
      <c r="BI30" s="46">
        <f t="shared" si="54"/>
        <v>0</v>
      </c>
      <c r="BJ30" s="46">
        <v>834</v>
      </c>
      <c r="BK30" s="46">
        <v>2677</v>
      </c>
      <c r="BL30" s="46">
        <f t="shared" si="66"/>
        <v>3511</v>
      </c>
      <c r="BM30" s="46">
        <v>31382</v>
      </c>
      <c r="BN30" s="46">
        <v>165638</v>
      </c>
      <c r="BO30" s="46">
        <f t="shared" si="56"/>
        <v>197020</v>
      </c>
      <c r="BP30" s="46">
        <v>10858</v>
      </c>
      <c r="BQ30" s="46">
        <v>50300</v>
      </c>
      <c r="BR30" s="46">
        <f t="shared" si="57"/>
        <v>61158</v>
      </c>
      <c r="BS30" s="46">
        <v>4737</v>
      </c>
      <c r="BT30" s="46">
        <v>14515</v>
      </c>
      <c r="BU30" s="46">
        <f t="shared" si="58"/>
        <v>19252</v>
      </c>
      <c r="BV30" s="46"/>
      <c r="BW30" s="46"/>
      <c r="BX30" s="46">
        <f t="shared" si="69"/>
        <v>0</v>
      </c>
      <c r="BY30" s="46"/>
      <c r="BZ30" s="46"/>
      <c r="CA30" s="46">
        <f t="shared" si="60"/>
        <v>0</v>
      </c>
      <c r="CB30" s="46">
        <v>22023</v>
      </c>
      <c r="CC30" s="46">
        <v>102868</v>
      </c>
      <c r="CD30" s="46">
        <f t="shared" si="61"/>
        <v>124891</v>
      </c>
      <c r="CE30" s="46">
        <v>24636</v>
      </c>
      <c r="CF30" s="46">
        <v>58307</v>
      </c>
      <c r="CG30" s="46">
        <f t="shared" si="62"/>
        <v>82943</v>
      </c>
      <c r="CH30" s="46">
        <v>407</v>
      </c>
      <c r="CI30" s="46">
        <v>22073</v>
      </c>
      <c r="CJ30" s="46">
        <f t="shared" si="63"/>
        <v>22480</v>
      </c>
      <c r="CK30" s="46">
        <v>5910</v>
      </c>
      <c r="CL30" s="46">
        <v>59609</v>
      </c>
      <c r="CM30" s="46">
        <f t="shared" si="64"/>
        <v>65519</v>
      </c>
      <c r="CN30" s="46">
        <v>9752</v>
      </c>
      <c r="CO30" s="46">
        <v>31218</v>
      </c>
      <c r="CP30" s="46">
        <f t="shared" si="67"/>
        <v>40970</v>
      </c>
    </row>
    <row r="31" spans="1:94" ht="15" customHeight="1" x14ac:dyDescent="0.25">
      <c r="A31" s="47" t="s">
        <v>168</v>
      </c>
      <c r="B31" s="46">
        <v>3560</v>
      </c>
      <c r="C31" s="46">
        <v>7960</v>
      </c>
      <c r="D31" s="46">
        <f t="shared" si="35"/>
        <v>11520</v>
      </c>
      <c r="E31" s="46">
        <v>250</v>
      </c>
      <c r="F31" s="46">
        <v>500</v>
      </c>
      <c r="G31" s="46">
        <f t="shared" si="36"/>
        <v>750</v>
      </c>
      <c r="H31" s="46">
        <v>19817</v>
      </c>
      <c r="I31" s="46">
        <v>73190</v>
      </c>
      <c r="J31" s="46">
        <f t="shared" si="68"/>
        <v>93007</v>
      </c>
      <c r="K31" s="46">
        <v>25533</v>
      </c>
      <c r="L31" s="46">
        <f>7612+2149</f>
        <v>9761</v>
      </c>
      <c r="M31" s="46">
        <f t="shared" si="38"/>
        <v>35294</v>
      </c>
      <c r="N31" s="46"/>
      <c r="O31" s="46"/>
      <c r="P31" s="46">
        <f t="shared" si="39"/>
        <v>0</v>
      </c>
      <c r="Q31" s="46">
        <v>17004</v>
      </c>
      <c r="R31" s="46">
        <v>118404</v>
      </c>
      <c r="S31" s="46">
        <f t="shared" si="40"/>
        <v>135408</v>
      </c>
      <c r="T31" s="46">
        <v>1372.12</v>
      </c>
      <c r="U31" s="46">
        <v>1677.03</v>
      </c>
      <c r="V31" s="46">
        <f t="shared" si="41"/>
        <v>3049.1499999999996</v>
      </c>
      <c r="W31" s="46">
        <v>780</v>
      </c>
      <c r="X31" s="46">
        <v>1560</v>
      </c>
      <c r="Y31" s="46">
        <f t="shared" si="42"/>
        <v>2340</v>
      </c>
      <c r="Z31" s="46">
        <v>3319.76</v>
      </c>
      <c r="AA31" s="46">
        <v>11148.87</v>
      </c>
      <c r="AB31" s="46">
        <f t="shared" si="43"/>
        <v>14468.630000000001</v>
      </c>
      <c r="AC31" s="46"/>
      <c r="AD31" s="46"/>
      <c r="AE31" s="46">
        <f t="shared" si="44"/>
        <v>0</v>
      </c>
      <c r="AF31" s="46">
        <v>108</v>
      </c>
      <c r="AG31" s="46">
        <v>392</v>
      </c>
      <c r="AH31" s="46">
        <f t="shared" si="45"/>
        <v>500</v>
      </c>
      <c r="AI31" s="46">
        <v>33463</v>
      </c>
      <c r="AJ31" s="46">
        <v>110374</v>
      </c>
      <c r="AK31" s="46">
        <f t="shared" si="46"/>
        <v>143837</v>
      </c>
      <c r="AL31" s="46">
        <v>2705</v>
      </c>
      <c r="AM31" s="46">
        <v>9739</v>
      </c>
      <c r="AN31" s="46">
        <f t="shared" si="47"/>
        <v>12444</v>
      </c>
      <c r="AO31" s="46">
        <v>519</v>
      </c>
      <c r="AP31" s="46">
        <v>1691</v>
      </c>
      <c r="AQ31" s="46">
        <f t="shared" si="48"/>
        <v>2210</v>
      </c>
      <c r="AR31" s="46"/>
      <c r="AS31" s="46"/>
      <c r="AT31" s="46">
        <f t="shared" si="49"/>
        <v>0</v>
      </c>
      <c r="AU31" s="46">
        <v>438.98</v>
      </c>
      <c r="AV31" s="46">
        <v>3302.02</v>
      </c>
      <c r="AW31" s="46">
        <f t="shared" si="50"/>
        <v>3741</v>
      </c>
      <c r="AX31" s="46"/>
      <c r="AY31" s="46"/>
      <c r="AZ31" s="46">
        <f t="shared" si="51"/>
        <v>0</v>
      </c>
      <c r="BA31" s="46">
        <v>3582</v>
      </c>
      <c r="BB31" s="46">
        <v>3156</v>
      </c>
      <c r="BC31" s="46">
        <f t="shared" si="52"/>
        <v>6738</v>
      </c>
      <c r="BD31" s="46">
        <v>36.159999999999997</v>
      </c>
      <c r="BE31" s="46">
        <v>102054.84</v>
      </c>
      <c r="BF31" s="46">
        <f t="shared" si="53"/>
        <v>102091</v>
      </c>
      <c r="BG31" s="46">
        <v>1565</v>
      </c>
      <c r="BH31" s="46">
        <v>3088</v>
      </c>
      <c r="BI31" s="46">
        <f t="shared" si="54"/>
        <v>4653</v>
      </c>
      <c r="BJ31" s="46">
        <v>818</v>
      </c>
      <c r="BK31" s="46">
        <v>2626</v>
      </c>
      <c r="BL31" s="46">
        <f t="shared" si="66"/>
        <v>3444</v>
      </c>
      <c r="BM31" s="46">
        <v>7421</v>
      </c>
      <c r="BN31" s="46">
        <v>39167</v>
      </c>
      <c r="BO31" s="46">
        <f t="shared" si="56"/>
        <v>46588</v>
      </c>
      <c r="BP31" s="46"/>
      <c r="BQ31" s="46"/>
      <c r="BR31" s="46">
        <f t="shared" si="57"/>
        <v>0</v>
      </c>
      <c r="BS31" s="46">
        <v>199</v>
      </c>
      <c r="BT31" s="46">
        <v>14527</v>
      </c>
      <c r="BU31" s="46">
        <f t="shared" si="58"/>
        <v>14726</v>
      </c>
      <c r="BV31" s="46"/>
      <c r="BW31" s="46"/>
      <c r="BX31" s="46">
        <f t="shared" si="69"/>
        <v>0</v>
      </c>
      <c r="BY31" s="46">
        <v>64280</v>
      </c>
      <c r="BZ31" s="46">
        <v>91691</v>
      </c>
      <c r="CA31" s="46">
        <f t="shared" si="60"/>
        <v>155971</v>
      </c>
      <c r="CB31" s="46">
        <v>5556</v>
      </c>
      <c r="CC31" s="46">
        <v>25950</v>
      </c>
      <c r="CD31" s="46">
        <f t="shared" si="61"/>
        <v>31506</v>
      </c>
      <c r="CE31" s="46"/>
      <c r="CF31" s="46"/>
      <c r="CG31" s="46">
        <f t="shared" si="62"/>
        <v>0</v>
      </c>
      <c r="CH31" s="46"/>
      <c r="CI31" s="46"/>
      <c r="CJ31" s="46">
        <f t="shared" si="63"/>
        <v>0</v>
      </c>
      <c r="CK31" s="46"/>
      <c r="CL31" s="46"/>
      <c r="CM31" s="46">
        <f t="shared" si="64"/>
        <v>0</v>
      </c>
      <c r="CN31" s="46">
        <v>2790</v>
      </c>
      <c r="CO31" s="46">
        <v>8933</v>
      </c>
      <c r="CP31" s="46">
        <f t="shared" si="67"/>
        <v>11723</v>
      </c>
    </row>
    <row r="32" spans="1:94" ht="15" customHeight="1" x14ac:dyDescent="0.25">
      <c r="A32" s="47" t="s">
        <v>162</v>
      </c>
      <c r="B32" s="46"/>
      <c r="C32" s="46"/>
      <c r="D32" s="46">
        <f t="shared" si="35"/>
        <v>0</v>
      </c>
      <c r="E32" s="46"/>
      <c r="F32" s="46"/>
      <c r="G32" s="46">
        <f t="shared" si="36"/>
        <v>0</v>
      </c>
      <c r="H32" s="46"/>
      <c r="I32" s="46"/>
      <c r="J32" s="46">
        <f t="shared" si="68"/>
        <v>0</v>
      </c>
      <c r="K32" s="46"/>
      <c r="L32" s="46"/>
      <c r="M32" s="46">
        <f t="shared" si="38"/>
        <v>0</v>
      </c>
      <c r="N32" s="46"/>
      <c r="O32" s="46"/>
      <c r="P32" s="46">
        <f t="shared" si="39"/>
        <v>0</v>
      </c>
      <c r="Q32" s="46"/>
      <c r="R32" s="46"/>
      <c r="S32" s="46">
        <f t="shared" si="40"/>
        <v>0</v>
      </c>
      <c r="T32" s="46"/>
      <c r="U32" s="46"/>
      <c r="V32" s="46">
        <f t="shared" si="41"/>
        <v>0</v>
      </c>
      <c r="W32" s="46"/>
      <c r="X32" s="46"/>
      <c r="Y32" s="46">
        <f t="shared" si="42"/>
        <v>0</v>
      </c>
      <c r="Z32" s="46"/>
      <c r="AA32" s="46"/>
      <c r="AB32" s="46">
        <f t="shared" si="43"/>
        <v>0</v>
      </c>
      <c r="AC32" s="46"/>
      <c r="AD32" s="46"/>
      <c r="AE32" s="46">
        <f t="shared" si="44"/>
        <v>0</v>
      </c>
      <c r="AF32" s="46"/>
      <c r="AG32" s="46"/>
      <c r="AH32" s="46">
        <f t="shared" si="45"/>
        <v>0</v>
      </c>
      <c r="AI32" s="46"/>
      <c r="AJ32" s="46"/>
      <c r="AK32" s="46">
        <f t="shared" si="46"/>
        <v>0</v>
      </c>
      <c r="AL32" s="46"/>
      <c r="AM32" s="46"/>
      <c r="AN32" s="46">
        <f t="shared" si="47"/>
        <v>0</v>
      </c>
      <c r="AO32" s="46"/>
      <c r="AP32" s="46"/>
      <c r="AQ32" s="46">
        <f t="shared" si="48"/>
        <v>0</v>
      </c>
      <c r="AR32" s="46"/>
      <c r="AS32" s="46"/>
      <c r="AT32" s="46">
        <f t="shared" si="49"/>
        <v>0</v>
      </c>
      <c r="AU32" s="46"/>
      <c r="AV32" s="46"/>
      <c r="AW32" s="46">
        <f t="shared" si="50"/>
        <v>0</v>
      </c>
      <c r="AX32" s="46"/>
      <c r="AY32" s="46"/>
      <c r="AZ32" s="46">
        <f t="shared" si="51"/>
        <v>0</v>
      </c>
      <c r="BA32" s="46"/>
      <c r="BB32" s="46"/>
      <c r="BC32" s="46">
        <f t="shared" si="52"/>
        <v>0</v>
      </c>
      <c r="BD32" s="46"/>
      <c r="BE32" s="46"/>
      <c r="BF32" s="46">
        <f t="shared" si="53"/>
        <v>0</v>
      </c>
      <c r="BG32" s="46"/>
      <c r="BH32" s="46"/>
      <c r="BI32" s="46">
        <f t="shared" si="54"/>
        <v>0</v>
      </c>
      <c r="BJ32" s="46"/>
      <c r="BK32" s="46"/>
      <c r="BL32" s="46">
        <f t="shared" si="66"/>
        <v>0</v>
      </c>
      <c r="BM32" s="46"/>
      <c r="BN32" s="46"/>
      <c r="BO32" s="46">
        <f t="shared" si="56"/>
        <v>0</v>
      </c>
      <c r="BP32" s="46"/>
      <c r="BQ32" s="46"/>
      <c r="BR32" s="46">
        <f t="shared" si="57"/>
        <v>0</v>
      </c>
      <c r="BS32" s="46"/>
      <c r="BT32" s="46"/>
      <c r="BU32" s="46">
        <f t="shared" si="58"/>
        <v>0</v>
      </c>
      <c r="BV32" s="46"/>
      <c r="BW32" s="46"/>
      <c r="BX32" s="46">
        <f t="shared" si="69"/>
        <v>0</v>
      </c>
      <c r="BY32" s="46"/>
      <c r="BZ32" s="46"/>
      <c r="CA32" s="46">
        <f t="shared" si="60"/>
        <v>0</v>
      </c>
      <c r="CB32" s="46"/>
      <c r="CC32" s="46"/>
      <c r="CD32" s="46">
        <f t="shared" si="61"/>
        <v>0</v>
      </c>
      <c r="CE32" s="46"/>
      <c r="CF32" s="46">
        <v>84</v>
      </c>
      <c r="CG32" s="46">
        <f t="shared" si="62"/>
        <v>84</v>
      </c>
      <c r="CH32" s="46"/>
      <c r="CI32" s="46"/>
      <c r="CJ32" s="46">
        <f t="shared" si="63"/>
        <v>0</v>
      </c>
      <c r="CK32" s="46"/>
      <c r="CL32" s="46"/>
      <c r="CM32" s="46">
        <f t="shared" si="64"/>
        <v>0</v>
      </c>
      <c r="CN32" s="46"/>
      <c r="CO32" s="46"/>
      <c r="CP32" s="46">
        <f t="shared" si="67"/>
        <v>0</v>
      </c>
    </row>
    <row r="33" spans="1:94" ht="15" customHeight="1" x14ac:dyDescent="0.25">
      <c r="A33" s="47" t="s">
        <v>301</v>
      </c>
      <c r="B33" s="46"/>
      <c r="C33" s="46"/>
      <c r="D33" s="46"/>
      <c r="E33" s="46"/>
      <c r="F33" s="46"/>
      <c r="G33" s="46"/>
      <c r="H33" s="46"/>
      <c r="I33" s="46"/>
      <c r="J33" s="46">
        <f t="shared" si="68"/>
        <v>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>
        <f t="shared" si="41"/>
        <v>0</v>
      </c>
      <c r="W33" s="46"/>
      <c r="X33" s="46">
        <v>671</v>
      </c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>
        <f t="shared" si="46"/>
        <v>0</v>
      </c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>
        <f t="shared" si="56"/>
        <v>0</v>
      </c>
      <c r="BP33" s="46"/>
      <c r="BQ33" s="46"/>
      <c r="BR33" s="46">
        <f t="shared" si="57"/>
        <v>0</v>
      </c>
      <c r="BS33" s="46"/>
      <c r="BT33" s="46"/>
      <c r="BU33" s="46"/>
      <c r="BV33" s="46"/>
      <c r="BW33" s="46"/>
      <c r="BX33" s="46">
        <f t="shared" si="69"/>
        <v>0</v>
      </c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>
        <f t="shared" si="63"/>
        <v>0</v>
      </c>
      <c r="CK33" s="46"/>
      <c r="CL33" s="46"/>
      <c r="CM33" s="46"/>
      <c r="CN33" s="46"/>
      <c r="CO33" s="46"/>
      <c r="CP33" s="46">
        <f t="shared" si="67"/>
        <v>0</v>
      </c>
    </row>
    <row r="34" spans="1:94" ht="15" customHeight="1" x14ac:dyDescent="0.25">
      <c r="A34" s="47" t="s">
        <v>298</v>
      </c>
      <c r="B34" s="46"/>
      <c r="C34" s="46"/>
      <c r="D34" s="46">
        <f t="shared" si="35"/>
        <v>0</v>
      </c>
      <c r="E34" s="46">
        <v>501</v>
      </c>
      <c r="F34" s="46">
        <f>1503+1014</f>
        <v>2517</v>
      </c>
      <c r="G34" s="46">
        <f t="shared" si="36"/>
        <v>3018</v>
      </c>
      <c r="H34" s="46">
        <v>4882</v>
      </c>
      <c r="I34" s="46">
        <v>18032</v>
      </c>
      <c r="J34" s="46">
        <f t="shared" si="68"/>
        <v>22914</v>
      </c>
      <c r="K34" s="46">
        <v>4680</v>
      </c>
      <c r="L34" s="46">
        <v>82279</v>
      </c>
      <c r="M34" s="46">
        <f t="shared" si="38"/>
        <v>86959</v>
      </c>
      <c r="N34" s="46">
        <v>4002</v>
      </c>
      <c r="O34" s="46">
        <v>13994</v>
      </c>
      <c r="P34" s="46">
        <f t="shared" si="39"/>
        <v>17996</v>
      </c>
      <c r="Q34" s="46">
        <v>2383</v>
      </c>
      <c r="R34" s="46">
        <v>16595</v>
      </c>
      <c r="S34" s="46">
        <f t="shared" si="40"/>
        <v>18978</v>
      </c>
      <c r="T34" s="46">
        <v>4589.3999999999996</v>
      </c>
      <c r="U34" s="46">
        <v>5609.26</v>
      </c>
      <c r="V34" s="46">
        <f t="shared" si="41"/>
        <v>10198.66</v>
      </c>
      <c r="W34" s="46">
        <v>273</v>
      </c>
      <c r="X34" s="46">
        <v>4609</v>
      </c>
      <c r="Y34" s="46">
        <f t="shared" si="42"/>
        <v>4882</v>
      </c>
      <c r="Z34" s="46">
        <v>345.39</v>
      </c>
      <c r="AA34" s="46">
        <v>1159.94</v>
      </c>
      <c r="AB34" s="46">
        <f t="shared" si="43"/>
        <v>1505.33</v>
      </c>
      <c r="AC34" s="46">
        <v>14535</v>
      </c>
      <c r="AD34" s="46">
        <v>106869</v>
      </c>
      <c r="AE34" s="46">
        <f t="shared" si="44"/>
        <v>121404</v>
      </c>
      <c r="AF34" s="46">
        <v>7129</v>
      </c>
      <c r="AG34" s="46">
        <v>25862</v>
      </c>
      <c r="AH34" s="46">
        <f t="shared" si="45"/>
        <v>32991</v>
      </c>
      <c r="AI34" s="46">
        <v>18081</v>
      </c>
      <c r="AJ34" s="46">
        <v>59639</v>
      </c>
      <c r="AK34" s="46">
        <f t="shared" si="46"/>
        <v>77720</v>
      </c>
      <c r="AL34" s="46">
        <v>16528</v>
      </c>
      <c r="AM34" s="46">
        <v>59501</v>
      </c>
      <c r="AN34" s="46">
        <f t="shared" si="47"/>
        <v>76029</v>
      </c>
      <c r="AO34" s="46">
        <v>1095</v>
      </c>
      <c r="AP34" s="46">
        <v>3564</v>
      </c>
      <c r="AQ34" s="46">
        <f t="shared" si="48"/>
        <v>4659</v>
      </c>
      <c r="AR34" s="46">
        <v>2516</v>
      </c>
      <c r="AS34" s="46">
        <v>6481</v>
      </c>
      <c r="AT34" s="46">
        <f t="shared" si="49"/>
        <v>8997</v>
      </c>
      <c r="AU34" s="46"/>
      <c r="AV34" s="46"/>
      <c r="AW34" s="46">
        <f t="shared" si="50"/>
        <v>0</v>
      </c>
      <c r="AX34" s="46">
        <v>501.03</v>
      </c>
      <c r="AY34" s="46">
        <v>3541.52</v>
      </c>
      <c r="AZ34" s="46">
        <f t="shared" si="51"/>
        <v>4042.55</v>
      </c>
      <c r="BA34" s="46">
        <v>2005</v>
      </c>
      <c r="BB34" s="46"/>
      <c r="BC34" s="46">
        <f t="shared" si="52"/>
        <v>2005</v>
      </c>
      <c r="BD34" s="46">
        <v>9.92</v>
      </c>
      <c r="BE34" s="46">
        <v>27988.58</v>
      </c>
      <c r="BF34" s="46">
        <f t="shared" si="53"/>
        <v>27998.5</v>
      </c>
      <c r="BG34" s="46"/>
      <c r="BH34" s="46">
        <v>500</v>
      </c>
      <c r="BI34" s="46">
        <f t="shared" si="54"/>
        <v>500</v>
      </c>
      <c r="BJ34" s="46">
        <v>1070</v>
      </c>
      <c r="BK34" s="46">
        <v>3433</v>
      </c>
      <c r="BL34" s="46">
        <f t="shared" si="66"/>
        <v>4503</v>
      </c>
      <c r="BM34" s="46">
        <v>4042</v>
      </c>
      <c r="BN34" s="46">
        <v>21335</v>
      </c>
      <c r="BO34" s="46">
        <f t="shared" si="56"/>
        <v>25377</v>
      </c>
      <c r="BP34" s="46">
        <v>2930</v>
      </c>
      <c r="BQ34" s="46">
        <v>13574</v>
      </c>
      <c r="BR34" s="46">
        <f t="shared" si="57"/>
        <v>16504</v>
      </c>
      <c r="BS34" s="46"/>
      <c r="BT34" s="46">
        <v>11931</v>
      </c>
      <c r="BU34" s="46">
        <f t="shared" si="58"/>
        <v>11931</v>
      </c>
      <c r="BV34" s="46">
        <v>5681</v>
      </c>
      <c r="BW34" s="46">
        <v>10301</v>
      </c>
      <c r="BX34" s="46">
        <f t="shared" si="69"/>
        <v>15982</v>
      </c>
      <c r="BY34" s="46">
        <v>4117</v>
      </c>
      <c r="BZ34" s="46">
        <v>5873</v>
      </c>
      <c r="CA34" s="46">
        <f t="shared" si="60"/>
        <v>9990</v>
      </c>
      <c r="CB34" s="46">
        <v>442</v>
      </c>
      <c r="CC34" s="46">
        <v>2063</v>
      </c>
      <c r="CD34" s="46">
        <f t="shared" si="61"/>
        <v>2505</v>
      </c>
      <c r="CE34" s="46">
        <v>40539</v>
      </c>
      <c r="CF34" s="46">
        <v>95945</v>
      </c>
      <c r="CG34" s="46">
        <f t="shared" si="62"/>
        <v>136484</v>
      </c>
      <c r="CH34" s="46">
        <v>507</v>
      </c>
      <c r="CI34" s="46">
        <v>27499</v>
      </c>
      <c r="CJ34" s="46">
        <f t="shared" si="63"/>
        <v>28006</v>
      </c>
      <c r="CK34" s="46">
        <v>6005</v>
      </c>
      <c r="CL34" s="46">
        <v>60567</v>
      </c>
      <c r="CM34" s="46">
        <f t="shared" si="64"/>
        <v>66572</v>
      </c>
      <c r="CN34" s="46">
        <v>3928</v>
      </c>
      <c r="CO34" s="46">
        <v>12575</v>
      </c>
      <c r="CP34" s="46">
        <f t="shared" si="67"/>
        <v>16503</v>
      </c>
    </row>
    <row r="35" spans="1:94" x14ac:dyDescent="0.25">
      <c r="A35" s="47" t="s">
        <v>164</v>
      </c>
      <c r="B35" s="46">
        <v>606</v>
      </c>
      <c r="C35" s="46">
        <v>1354</v>
      </c>
      <c r="D35" s="46">
        <f t="shared" si="35"/>
        <v>1960</v>
      </c>
      <c r="E35" s="46"/>
      <c r="F35" s="46">
        <v>1001</v>
      </c>
      <c r="G35" s="46">
        <f t="shared" si="36"/>
        <v>1001</v>
      </c>
      <c r="H35" s="46">
        <v>320</v>
      </c>
      <c r="I35" s="46">
        <v>1180</v>
      </c>
      <c r="J35" s="46">
        <f t="shared" si="68"/>
        <v>1500</v>
      </c>
      <c r="K35" s="46"/>
      <c r="L35" s="46"/>
      <c r="M35" s="46">
        <f t="shared" si="38"/>
        <v>0</v>
      </c>
      <c r="N35" s="46"/>
      <c r="O35" s="46"/>
      <c r="P35" s="46">
        <f t="shared" si="39"/>
        <v>0</v>
      </c>
      <c r="Q35" s="46">
        <v>314</v>
      </c>
      <c r="R35" s="46">
        <v>2188</v>
      </c>
      <c r="S35" s="46">
        <f t="shared" si="40"/>
        <v>2502</v>
      </c>
      <c r="T35" s="46">
        <v>4048.79</v>
      </c>
      <c r="U35" s="46">
        <v>4948.5200000000004</v>
      </c>
      <c r="V35" s="46">
        <f t="shared" si="41"/>
        <v>8997.3100000000013</v>
      </c>
      <c r="W35" s="46">
        <v>496</v>
      </c>
      <c r="X35" s="46">
        <v>1194</v>
      </c>
      <c r="Y35" s="46">
        <f t="shared" si="42"/>
        <v>1690</v>
      </c>
      <c r="Z35" s="46"/>
      <c r="AA35" s="46"/>
      <c r="AB35" s="46">
        <f t="shared" si="43"/>
        <v>0</v>
      </c>
      <c r="AC35" s="46"/>
      <c r="AD35" s="46"/>
      <c r="AE35" s="46">
        <f t="shared" si="44"/>
        <v>0</v>
      </c>
      <c r="AF35" s="46"/>
      <c r="AG35" s="46"/>
      <c r="AH35" s="46">
        <f t="shared" si="45"/>
        <v>0</v>
      </c>
      <c r="AI35" s="46"/>
      <c r="AJ35" s="46"/>
      <c r="AK35" s="46">
        <f t="shared" si="46"/>
        <v>0</v>
      </c>
      <c r="AL35" s="46"/>
      <c r="AM35" s="46"/>
      <c r="AN35" s="46">
        <f t="shared" si="47"/>
        <v>0</v>
      </c>
      <c r="AO35" s="46"/>
      <c r="AP35" s="46"/>
      <c r="AQ35" s="46">
        <f t="shared" si="48"/>
        <v>0</v>
      </c>
      <c r="AR35" s="46"/>
      <c r="AS35" s="46"/>
      <c r="AT35" s="46">
        <f t="shared" si="49"/>
        <v>0</v>
      </c>
      <c r="AU35" s="46"/>
      <c r="AV35" s="46"/>
      <c r="AW35" s="46">
        <f t="shared" si="50"/>
        <v>0</v>
      </c>
      <c r="AX35" s="46">
        <v>5.93</v>
      </c>
      <c r="AY35" s="46">
        <v>461.07</v>
      </c>
      <c r="AZ35" s="46">
        <f t="shared" si="51"/>
        <v>467</v>
      </c>
      <c r="BA35" s="46">
        <v>969</v>
      </c>
      <c r="BB35" s="46"/>
      <c r="BC35" s="46">
        <f t="shared" si="52"/>
        <v>969</v>
      </c>
      <c r="BD35" s="46"/>
      <c r="BE35" s="46"/>
      <c r="BF35" s="46">
        <f t="shared" si="53"/>
        <v>0</v>
      </c>
      <c r="BG35" s="46">
        <v>175</v>
      </c>
      <c r="BH35" s="46">
        <v>509</v>
      </c>
      <c r="BI35" s="46">
        <f t="shared" si="54"/>
        <v>684</v>
      </c>
      <c r="BJ35" s="46"/>
      <c r="BK35" s="46"/>
      <c r="BL35" s="46">
        <f t="shared" si="66"/>
        <v>0</v>
      </c>
      <c r="BM35" s="46">
        <f>3909-880</f>
        <v>3029</v>
      </c>
      <c r="BN35" s="46">
        <f>20635-4644</f>
        <v>15991</v>
      </c>
      <c r="BO35" s="46">
        <f t="shared" si="56"/>
        <v>19020</v>
      </c>
      <c r="BP35" s="46">
        <v>1602</v>
      </c>
      <c r="BQ35" s="46">
        <v>7421</v>
      </c>
      <c r="BR35" s="46">
        <f t="shared" si="57"/>
        <v>9023</v>
      </c>
      <c r="BS35" s="46"/>
      <c r="BT35" s="46">
        <v>16771</v>
      </c>
      <c r="BU35" s="46">
        <f t="shared" si="58"/>
        <v>16771</v>
      </c>
      <c r="BV35" s="46"/>
      <c r="BW35" s="46"/>
      <c r="BX35" s="46">
        <v>0</v>
      </c>
      <c r="BY35" s="46"/>
      <c r="BZ35" s="46"/>
      <c r="CA35" s="46">
        <f t="shared" si="60"/>
        <v>0</v>
      </c>
      <c r="CB35" s="46">
        <v>11934</v>
      </c>
      <c r="CC35" s="46">
        <v>55743</v>
      </c>
      <c r="CD35" s="46">
        <f t="shared" si="61"/>
        <v>67677</v>
      </c>
      <c r="CE35" s="46">
        <v>36</v>
      </c>
      <c r="CF35" s="46"/>
      <c r="CG35" s="46">
        <f t="shared" si="62"/>
        <v>36</v>
      </c>
      <c r="CH35" s="46">
        <v>95</v>
      </c>
      <c r="CI35" s="46"/>
      <c r="CJ35" s="46">
        <f t="shared" si="63"/>
        <v>95</v>
      </c>
      <c r="CK35" s="46">
        <v>550</v>
      </c>
      <c r="CL35" s="46">
        <v>5549</v>
      </c>
      <c r="CM35" s="46">
        <f t="shared" si="64"/>
        <v>6099</v>
      </c>
      <c r="CN35" s="46">
        <f>21+84</f>
        <v>105</v>
      </c>
      <c r="CO35" s="46">
        <v>337</v>
      </c>
      <c r="CP35" s="46">
        <f t="shared" si="67"/>
        <v>442</v>
      </c>
    </row>
    <row r="36" spans="1:94" s="49" customFormat="1" x14ac:dyDescent="0.25">
      <c r="A36" s="45" t="s">
        <v>167</v>
      </c>
      <c r="B36" s="48">
        <f t="shared" ref="B36:AG36" si="70">SUM(B22:B35)</f>
        <v>6312</v>
      </c>
      <c r="C36" s="48">
        <f t="shared" si="70"/>
        <v>14115</v>
      </c>
      <c r="D36" s="48">
        <f t="shared" si="70"/>
        <v>20427</v>
      </c>
      <c r="E36" s="48">
        <f t="shared" si="70"/>
        <v>5984</v>
      </c>
      <c r="F36" s="48">
        <f t="shared" si="70"/>
        <v>19838</v>
      </c>
      <c r="G36" s="48">
        <f t="shared" si="70"/>
        <v>25822</v>
      </c>
      <c r="H36" s="48">
        <f t="shared" si="70"/>
        <v>95013</v>
      </c>
      <c r="I36" s="48">
        <f t="shared" si="70"/>
        <v>350909</v>
      </c>
      <c r="J36" s="48">
        <f t="shared" si="70"/>
        <v>445922</v>
      </c>
      <c r="K36" s="48">
        <f t="shared" si="70"/>
        <v>106320</v>
      </c>
      <c r="L36" s="48">
        <f t="shared" si="70"/>
        <v>134990</v>
      </c>
      <c r="M36" s="48">
        <f t="shared" si="70"/>
        <v>241310</v>
      </c>
      <c r="N36" s="48">
        <f t="shared" si="70"/>
        <v>17138</v>
      </c>
      <c r="O36" s="48">
        <f t="shared" si="70"/>
        <v>38764</v>
      </c>
      <c r="P36" s="48">
        <f t="shared" si="70"/>
        <v>55902</v>
      </c>
      <c r="Q36" s="48">
        <f t="shared" si="70"/>
        <v>22326</v>
      </c>
      <c r="R36" s="48">
        <f t="shared" si="70"/>
        <v>155465</v>
      </c>
      <c r="S36" s="48">
        <f t="shared" si="70"/>
        <v>177791</v>
      </c>
      <c r="T36" s="48">
        <f t="shared" si="70"/>
        <v>46349.170000000006</v>
      </c>
      <c r="U36" s="48">
        <f t="shared" si="70"/>
        <v>56648.979999999996</v>
      </c>
      <c r="V36" s="48">
        <f t="shared" si="70"/>
        <v>102998.15</v>
      </c>
      <c r="W36" s="48">
        <f t="shared" si="70"/>
        <v>5745</v>
      </c>
      <c r="X36" s="48">
        <f t="shared" si="70"/>
        <v>22496</v>
      </c>
      <c r="Y36" s="48">
        <f t="shared" si="70"/>
        <v>27570</v>
      </c>
      <c r="Z36" s="48">
        <f t="shared" si="70"/>
        <v>6758.52</v>
      </c>
      <c r="AA36" s="48">
        <f t="shared" si="70"/>
        <v>22697.38</v>
      </c>
      <c r="AB36" s="48">
        <f t="shared" si="70"/>
        <v>29455.9</v>
      </c>
      <c r="AC36" s="48">
        <f t="shared" si="70"/>
        <v>22077</v>
      </c>
      <c r="AD36" s="48">
        <f t="shared" si="70"/>
        <v>185559</v>
      </c>
      <c r="AE36" s="48">
        <f t="shared" si="70"/>
        <v>207636</v>
      </c>
      <c r="AF36" s="48">
        <f t="shared" si="70"/>
        <v>45059</v>
      </c>
      <c r="AG36" s="48">
        <f t="shared" si="70"/>
        <v>163458</v>
      </c>
      <c r="AH36" s="48">
        <f t="shared" ref="AH36:BM36" si="71">SUM(AH22:AH35)</f>
        <v>208517</v>
      </c>
      <c r="AI36" s="48">
        <f t="shared" si="71"/>
        <v>104033</v>
      </c>
      <c r="AJ36" s="48">
        <f t="shared" si="71"/>
        <v>341503</v>
      </c>
      <c r="AK36" s="48">
        <f t="shared" si="71"/>
        <v>445536</v>
      </c>
      <c r="AL36" s="48">
        <f t="shared" si="71"/>
        <v>65378</v>
      </c>
      <c r="AM36" s="48">
        <f t="shared" si="71"/>
        <v>235357</v>
      </c>
      <c r="AN36" s="48">
        <f t="shared" si="71"/>
        <v>300735</v>
      </c>
      <c r="AO36" s="48">
        <f t="shared" si="71"/>
        <v>2202</v>
      </c>
      <c r="AP36" s="48">
        <f t="shared" si="71"/>
        <v>7170</v>
      </c>
      <c r="AQ36" s="48">
        <f t="shared" si="71"/>
        <v>9372</v>
      </c>
      <c r="AR36" s="48">
        <f t="shared" si="71"/>
        <v>17222</v>
      </c>
      <c r="AS36" s="48">
        <f t="shared" si="71"/>
        <v>44369</v>
      </c>
      <c r="AT36" s="48">
        <f t="shared" si="71"/>
        <v>61591</v>
      </c>
      <c r="AU36" s="48">
        <f t="shared" si="71"/>
        <v>2895.7599999999998</v>
      </c>
      <c r="AV36" s="48">
        <f t="shared" si="71"/>
        <v>21782</v>
      </c>
      <c r="AW36" s="48">
        <f t="shared" si="71"/>
        <v>24677.760000000002</v>
      </c>
      <c r="AX36" s="48">
        <f t="shared" si="71"/>
        <v>3507.98</v>
      </c>
      <c r="AY36" s="48">
        <f t="shared" si="71"/>
        <v>12948.3</v>
      </c>
      <c r="AZ36" s="48">
        <f t="shared" si="71"/>
        <v>16456.28</v>
      </c>
      <c r="BA36" s="48">
        <f t="shared" si="71"/>
        <v>21256</v>
      </c>
      <c r="BB36" s="48">
        <f t="shared" si="71"/>
        <v>12817</v>
      </c>
      <c r="BC36" s="48">
        <f t="shared" si="71"/>
        <v>34073</v>
      </c>
      <c r="BD36" s="48">
        <f t="shared" si="71"/>
        <v>183.17999999999998</v>
      </c>
      <c r="BE36" s="48">
        <f t="shared" si="71"/>
        <v>517012.23000000004</v>
      </c>
      <c r="BF36" s="48">
        <f t="shared" si="71"/>
        <v>517195.41</v>
      </c>
      <c r="BG36" s="48">
        <f t="shared" si="71"/>
        <v>2703</v>
      </c>
      <c r="BH36" s="48">
        <f t="shared" si="71"/>
        <v>6720</v>
      </c>
      <c r="BI36" s="48">
        <f t="shared" si="71"/>
        <v>9423</v>
      </c>
      <c r="BJ36" s="48">
        <f t="shared" si="71"/>
        <v>2755</v>
      </c>
      <c r="BK36" s="48">
        <f t="shared" si="71"/>
        <v>8842</v>
      </c>
      <c r="BL36" s="48">
        <f t="shared" si="71"/>
        <v>11597</v>
      </c>
      <c r="BM36" s="48">
        <f t="shared" si="71"/>
        <v>52338</v>
      </c>
      <c r="BN36" s="48">
        <f t="shared" ref="BN36:CP36" si="72">SUM(BN22:BN35)</f>
        <v>276248</v>
      </c>
      <c r="BO36" s="48">
        <f t="shared" si="72"/>
        <v>328586</v>
      </c>
      <c r="BP36" s="48">
        <f t="shared" si="72"/>
        <v>27577</v>
      </c>
      <c r="BQ36" s="48">
        <f t="shared" si="72"/>
        <v>127750</v>
      </c>
      <c r="BR36" s="48">
        <f t="shared" si="72"/>
        <v>155327</v>
      </c>
      <c r="BS36" s="48">
        <f t="shared" si="72"/>
        <v>4936</v>
      </c>
      <c r="BT36" s="48">
        <f t="shared" si="72"/>
        <v>63575</v>
      </c>
      <c r="BU36" s="48">
        <f t="shared" si="72"/>
        <v>68511</v>
      </c>
      <c r="BV36" s="48">
        <f t="shared" si="72"/>
        <v>5690</v>
      </c>
      <c r="BW36" s="48">
        <f t="shared" si="72"/>
        <v>27770</v>
      </c>
      <c r="BX36" s="48">
        <f t="shared" si="72"/>
        <v>33460</v>
      </c>
      <c r="BY36" s="48">
        <f t="shared" si="72"/>
        <v>109971</v>
      </c>
      <c r="BZ36" s="48">
        <f t="shared" si="72"/>
        <v>156866</v>
      </c>
      <c r="CA36" s="48">
        <f t="shared" si="72"/>
        <v>266837</v>
      </c>
      <c r="CB36" s="48">
        <f t="shared" si="72"/>
        <v>41436</v>
      </c>
      <c r="CC36" s="48">
        <f t="shared" si="72"/>
        <v>193542</v>
      </c>
      <c r="CD36" s="48">
        <f t="shared" si="72"/>
        <v>234978</v>
      </c>
      <c r="CE36" s="48">
        <f t="shared" si="72"/>
        <v>172501</v>
      </c>
      <c r="CF36" s="48">
        <f t="shared" si="72"/>
        <v>408265</v>
      </c>
      <c r="CG36" s="48">
        <f t="shared" si="72"/>
        <v>580766</v>
      </c>
      <c r="CH36" s="48">
        <f t="shared" si="72"/>
        <v>4981</v>
      </c>
      <c r="CI36" s="48">
        <f t="shared" si="72"/>
        <v>265074</v>
      </c>
      <c r="CJ36" s="48">
        <f t="shared" si="72"/>
        <v>270055</v>
      </c>
      <c r="CK36" s="48">
        <f t="shared" si="72"/>
        <v>25377</v>
      </c>
      <c r="CL36" s="48">
        <f t="shared" si="72"/>
        <v>255958</v>
      </c>
      <c r="CM36" s="48">
        <f t="shared" si="72"/>
        <v>281335</v>
      </c>
      <c r="CN36" s="48">
        <f t="shared" si="72"/>
        <v>22587</v>
      </c>
      <c r="CO36" s="48">
        <f t="shared" si="72"/>
        <v>72311</v>
      </c>
      <c r="CP36" s="48">
        <f t="shared" si="72"/>
        <v>94898</v>
      </c>
    </row>
    <row r="37" spans="1:94" s="49" customFormat="1" x14ac:dyDescent="0.25">
      <c r="A37" s="45" t="s">
        <v>40</v>
      </c>
      <c r="B37" s="48">
        <f t="shared" ref="B37:AG37" si="73">B36+B20</f>
        <v>27855</v>
      </c>
      <c r="C37" s="48">
        <f t="shared" si="73"/>
        <v>62289</v>
      </c>
      <c r="D37" s="48">
        <f t="shared" si="73"/>
        <v>90144</v>
      </c>
      <c r="E37" s="48">
        <f t="shared" si="73"/>
        <v>34334</v>
      </c>
      <c r="F37" s="48">
        <f t="shared" si="73"/>
        <v>112520</v>
      </c>
      <c r="G37" s="48">
        <f t="shared" si="73"/>
        <v>146854</v>
      </c>
      <c r="H37" s="48">
        <f t="shared" si="73"/>
        <v>357938</v>
      </c>
      <c r="I37" s="48">
        <f t="shared" si="73"/>
        <v>1321961</v>
      </c>
      <c r="J37" s="48">
        <f t="shared" si="73"/>
        <v>1679899</v>
      </c>
      <c r="K37" s="48">
        <f t="shared" si="73"/>
        <v>555835</v>
      </c>
      <c r="L37" s="48">
        <f t="shared" si="73"/>
        <v>1816226</v>
      </c>
      <c r="M37" s="48">
        <f t="shared" si="73"/>
        <v>2372061</v>
      </c>
      <c r="N37" s="48">
        <f t="shared" si="73"/>
        <v>97804</v>
      </c>
      <c r="O37" s="48">
        <f t="shared" si="73"/>
        <v>202820</v>
      </c>
      <c r="P37" s="48">
        <f t="shared" si="73"/>
        <v>300624</v>
      </c>
      <c r="Q37" s="48">
        <f t="shared" si="73"/>
        <v>151216</v>
      </c>
      <c r="R37" s="48">
        <f t="shared" si="73"/>
        <v>1052961</v>
      </c>
      <c r="S37" s="48">
        <f t="shared" si="73"/>
        <v>1204177</v>
      </c>
      <c r="T37" s="48">
        <f t="shared" si="73"/>
        <v>602802.85000000009</v>
      </c>
      <c r="U37" s="48">
        <f t="shared" si="73"/>
        <v>736759.03999999992</v>
      </c>
      <c r="V37" s="48">
        <f t="shared" si="73"/>
        <v>1339561.8899999999</v>
      </c>
      <c r="W37" s="48">
        <f t="shared" si="73"/>
        <v>9266</v>
      </c>
      <c r="X37" s="48">
        <f t="shared" si="73"/>
        <v>36014</v>
      </c>
      <c r="Y37" s="48">
        <f t="shared" si="73"/>
        <v>44609</v>
      </c>
      <c r="Z37" s="48">
        <f t="shared" si="73"/>
        <v>127448.97</v>
      </c>
      <c r="AA37" s="48">
        <f t="shared" si="73"/>
        <v>428016.08999999997</v>
      </c>
      <c r="AB37" s="48">
        <f t="shared" si="73"/>
        <v>555465.06000000006</v>
      </c>
      <c r="AC37" s="48">
        <f t="shared" si="73"/>
        <v>138917</v>
      </c>
      <c r="AD37" s="48">
        <f t="shared" si="73"/>
        <v>634127</v>
      </c>
      <c r="AE37" s="48">
        <f t="shared" si="73"/>
        <v>773044</v>
      </c>
      <c r="AF37" s="48">
        <f t="shared" si="73"/>
        <v>384586</v>
      </c>
      <c r="AG37" s="48">
        <f t="shared" si="73"/>
        <v>1395140</v>
      </c>
      <c r="AH37" s="48">
        <f t="shared" ref="AH37:BM37" si="74">AH36+AH20</f>
        <v>1779726</v>
      </c>
      <c r="AI37" s="48">
        <f t="shared" si="74"/>
        <v>863376</v>
      </c>
      <c r="AJ37" s="48">
        <f t="shared" si="74"/>
        <v>2881974</v>
      </c>
      <c r="AK37" s="48">
        <f t="shared" si="74"/>
        <v>3745350</v>
      </c>
      <c r="AL37" s="48">
        <f t="shared" si="74"/>
        <v>279065</v>
      </c>
      <c r="AM37" s="48">
        <f t="shared" si="74"/>
        <v>1004627</v>
      </c>
      <c r="AN37" s="48">
        <f t="shared" si="74"/>
        <v>1283692</v>
      </c>
      <c r="AO37" s="48">
        <f t="shared" si="74"/>
        <v>26201</v>
      </c>
      <c r="AP37" s="48">
        <f t="shared" si="74"/>
        <v>90834</v>
      </c>
      <c r="AQ37" s="48">
        <f t="shared" si="74"/>
        <v>117035</v>
      </c>
      <c r="AR37" s="48">
        <f t="shared" si="74"/>
        <v>88570</v>
      </c>
      <c r="AS37" s="48">
        <f t="shared" si="74"/>
        <v>228182</v>
      </c>
      <c r="AT37" s="48">
        <f t="shared" si="74"/>
        <v>316752</v>
      </c>
      <c r="AU37" s="48">
        <f t="shared" si="74"/>
        <v>41406.29</v>
      </c>
      <c r="AV37" s="48">
        <f t="shared" si="74"/>
        <v>311459.15999999997</v>
      </c>
      <c r="AW37" s="48">
        <f t="shared" si="74"/>
        <v>352865.45</v>
      </c>
      <c r="AX37" s="48">
        <f t="shared" si="74"/>
        <v>25686.91</v>
      </c>
      <c r="AY37" s="48">
        <f t="shared" si="74"/>
        <v>60212.119999999995</v>
      </c>
      <c r="AZ37" s="48">
        <f t="shared" si="74"/>
        <v>85899.03</v>
      </c>
      <c r="BA37" s="48">
        <f t="shared" si="74"/>
        <v>78935</v>
      </c>
      <c r="BB37" s="48">
        <f t="shared" si="74"/>
        <v>130965</v>
      </c>
      <c r="BC37" s="48">
        <f t="shared" si="74"/>
        <v>209900</v>
      </c>
      <c r="BD37" s="48">
        <f t="shared" si="74"/>
        <v>1084.28</v>
      </c>
      <c r="BE37" s="48">
        <f t="shared" si="74"/>
        <v>3060514.8400000003</v>
      </c>
      <c r="BF37" s="48">
        <f t="shared" si="74"/>
        <v>3061599.12</v>
      </c>
      <c r="BG37" s="48">
        <f t="shared" si="74"/>
        <v>23485</v>
      </c>
      <c r="BH37" s="48">
        <f t="shared" si="74"/>
        <v>32115</v>
      </c>
      <c r="BI37" s="48">
        <f t="shared" si="74"/>
        <v>55600</v>
      </c>
      <c r="BJ37" s="48">
        <f t="shared" si="74"/>
        <v>18181</v>
      </c>
      <c r="BK37" s="48">
        <f t="shared" si="74"/>
        <v>58348</v>
      </c>
      <c r="BL37" s="48">
        <f t="shared" si="74"/>
        <v>76529</v>
      </c>
      <c r="BM37" s="48">
        <f t="shared" si="74"/>
        <v>220782</v>
      </c>
      <c r="BN37" s="48">
        <f t="shared" ref="BN37:CP37" si="75">BN36+BN20</f>
        <v>1165333</v>
      </c>
      <c r="BO37" s="48">
        <f t="shared" si="75"/>
        <v>1386115</v>
      </c>
      <c r="BP37" s="48">
        <f t="shared" si="75"/>
        <v>125826</v>
      </c>
      <c r="BQ37" s="48">
        <f t="shared" si="75"/>
        <v>582892</v>
      </c>
      <c r="BR37" s="48">
        <f t="shared" si="75"/>
        <v>708718</v>
      </c>
      <c r="BS37" s="48">
        <f t="shared" si="75"/>
        <v>249496</v>
      </c>
      <c r="BT37" s="48">
        <f t="shared" si="75"/>
        <v>760163</v>
      </c>
      <c r="BU37" s="48">
        <f t="shared" si="75"/>
        <v>1009659</v>
      </c>
      <c r="BV37" s="48">
        <f t="shared" si="75"/>
        <v>169637</v>
      </c>
      <c r="BW37" s="48">
        <f t="shared" si="75"/>
        <v>913227</v>
      </c>
      <c r="BX37" s="48">
        <f t="shared" si="75"/>
        <v>1082864</v>
      </c>
      <c r="BY37" s="48">
        <f t="shared" si="75"/>
        <v>430288</v>
      </c>
      <c r="BZ37" s="48">
        <f t="shared" si="75"/>
        <v>613772</v>
      </c>
      <c r="CA37" s="48">
        <f t="shared" si="75"/>
        <v>1044060</v>
      </c>
      <c r="CB37" s="48">
        <f t="shared" si="75"/>
        <v>338326</v>
      </c>
      <c r="CC37" s="48">
        <f t="shared" si="75"/>
        <v>1580283</v>
      </c>
      <c r="CD37" s="48">
        <f t="shared" si="75"/>
        <v>1918609</v>
      </c>
      <c r="CE37" s="48">
        <f t="shared" si="75"/>
        <v>2193128</v>
      </c>
      <c r="CF37" s="48">
        <f t="shared" si="75"/>
        <v>4967935</v>
      </c>
      <c r="CG37" s="48">
        <f t="shared" si="75"/>
        <v>7161063</v>
      </c>
      <c r="CH37" s="48">
        <f t="shared" si="75"/>
        <v>188872</v>
      </c>
      <c r="CI37" s="48">
        <f t="shared" si="75"/>
        <v>2501186</v>
      </c>
      <c r="CJ37" s="48">
        <f t="shared" si="75"/>
        <v>2690058</v>
      </c>
      <c r="CK37" s="48">
        <f t="shared" si="75"/>
        <v>327704</v>
      </c>
      <c r="CL37" s="48">
        <f t="shared" si="75"/>
        <v>3305374</v>
      </c>
      <c r="CM37" s="48">
        <f t="shared" si="75"/>
        <v>3633078</v>
      </c>
      <c r="CN37" s="48">
        <f t="shared" si="75"/>
        <v>85476</v>
      </c>
      <c r="CO37" s="48">
        <f t="shared" si="75"/>
        <v>273636</v>
      </c>
      <c r="CP37" s="48">
        <f t="shared" si="75"/>
        <v>359112</v>
      </c>
    </row>
  </sheetData>
  <mergeCells count="32">
    <mergeCell ref="A3:A4"/>
    <mergeCell ref="CN3:CP3"/>
    <mergeCell ref="CE3:CG3"/>
    <mergeCell ref="CH3:CJ3"/>
    <mergeCell ref="BV3:BX3"/>
    <mergeCell ref="BY3:CA3"/>
    <mergeCell ref="CB3:CD3"/>
    <mergeCell ref="CK3:CM3"/>
    <mergeCell ref="BS3:BU3"/>
    <mergeCell ref="AU3:AW3"/>
    <mergeCell ref="N3:P3"/>
    <mergeCell ref="T3:V3"/>
    <mergeCell ref="Z3:AB3"/>
    <mergeCell ref="B3:D3"/>
    <mergeCell ref="E3:G3"/>
    <mergeCell ref="H3:J3"/>
    <mergeCell ref="K3:M3"/>
    <mergeCell ref="Q3:S3"/>
    <mergeCell ref="AO3:AQ3"/>
    <mergeCell ref="AR3:AT3"/>
    <mergeCell ref="AC3:AE3"/>
    <mergeCell ref="W3:Y3"/>
    <mergeCell ref="AF3:AH3"/>
    <mergeCell ref="AI3:AK3"/>
    <mergeCell ref="AL3:AN3"/>
    <mergeCell ref="AX3:AZ3"/>
    <mergeCell ref="BA3:BC3"/>
    <mergeCell ref="BP3:BR3"/>
    <mergeCell ref="BD3:BF3"/>
    <mergeCell ref="BG3:BI3"/>
    <mergeCell ref="BJ3:BL3"/>
    <mergeCell ref="BM3:BO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22" customWidth="1"/>
    <col min="2" max="32" width="16" style="22" customWidth="1"/>
    <col min="33" max="33" width="16" style="7" customWidth="1"/>
    <col min="34" max="16384" width="9.140625" style="22"/>
  </cols>
  <sheetData>
    <row r="1" spans="1:33" ht="18.75" x14ac:dyDescent="0.3">
      <c r="A1" s="12" t="s">
        <v>310</v>
      </c>
    </row>
    <row r="2" spans="1:33" x14ac:dyDescent="0.25">
      <c r="A2" s="13" t="s">
        <v>98</v>
      </c>
    </row>
    <row r="3" spans="1:33" x14ac:dyDescent="0.25">
      <c r="A3" s="1" t="s">
        <v>0</v>
      </c>
      <c r="B3" s="104" t="s">
        <v>1</v>
      </c>
      <c r="C3" s="104" t="s">
        <v>234</v>
      </c>
      <c r="D3" s="104" t="s">
        <v>2</v>
      </c>
      <c r="E3" s="104" t="s">
        <v>3</v>
      </c>
      <c r="F3" s="104" t="s">
        <v>243</v>
      </c>
      <c r="G3" s="104" t="s">
        <v>235</v>
      </c>
      <c r="H3" s="104" t="s">
        <v>5</v>
      </c>
      <c r="I3" s="104" t="s">
        <v>4</v>
      </c>
      <c r="J3" s="104" t="s">
        <v>6</v>
      </c>
      <c r="K3" s="104" t="s">
        <v>246</v>
      </c>
      <c r="L3" s="104" t="s">
        <v>7</v>
      </c>
      <c r="M3" s="104" t="s">
        <v>8</v>
      </c>
      <c r="N3" s="104" t="s">
        <v>9</v>
      </c>
      <c r="O3" s="104" t="s">
        <v>242</v>
      </c>
      <c r="P3" s="104" t="s">
        <v>10</v>
      </c>
      <c r="Q3" s="104" t="s">
        <v>11</v>
      </c>
      <c r="R3" s="104" t="s">
        <v>236</v>
      </c>
      <c r="S3" s="104" t="s">
        <v>245</v>
      </c>
      <c r="T3" s="104" t="s">
        <v>12</v>
      </c>
      <c r="U3" s="104" t="s">
        <v>237</v>
      </c>
      <c r="V3" s="104" t="s">
        <v>238</v>
      </c>
      <c r="W3" s="104" t="s">
        <v>241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239</v>
      </c>
      <c r="AD3" s="103" t="s">
        <v>240</v>
      </c>
      <c r="AE3" s="103" t="s">
        <v>18</v>
      </c>
      <c r="AF3" s="104" t="s">
        <v>19</v>
      </c>
      <c r="AG3" s="84" t="s">
        <v>20</v>
      </c>
    </row>
    <row r="4" spans="1:33" x14ac:dyDescent="0.25">
      <c r="A4" s="1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63"/>
    </row>
    <row r="5" spans="1:33" x14ac:dyDescent="0.25">
      <c r="A5" s="20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64">
        <f t="shared" ref="AG5:AG12" si="0">SUM(B5:AF5)</f>
        <v>0</v>
      </c>
    </row>
    <row r="6" spans="1:33" x14ac:dyDescent="0.25">
      <c r="A6" s="20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64">
        <f t="shared" si="0"/>
        <v>0</v>
      </c>
    </row>
    <row r="7" spans="1:33" x14ac:dyDescent="0.25">
      <c r="A7" s="20" t="s">
        <v>44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87"/>
      <c r="T7" s="24">
        <v>2269.81</v>
      </c>
      <c r="U7" s="24"/>
      <c r="V7" s="24"/>
      <c r="W7" s="24"/>
      <c r="X7" s="24"/>
      <c r="Y7" s="24"/>
      <c r="Z7" s="24"/>
      <c r="AA7" s="24"/>
      <c r="AB7" s="24"/>
      <c r="AC7" s="24">
        <v>27698</v>
      </c>
      <c r="AD7" s="24"/>
      <c r="AE7" s="30">
        <v>6169</v>
      </c>
      <c r="AF7" s="24"/>
      <c r="AG7" s="64">
        <f t="shared" si="0"/>
        <v>36136.81</v>
      </c>
    </row>
    <row r="8" spans="1:33" x14ac:dyDescent="0.25">
      <c r="A8" s="20" t="s">
        <v>45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>
        <v>4</v>
      </c>
      <c r="AD8" s="24"/>
      <c r="AE8" s="24"/>
      <c r="AF8" s="24"/>
      <c r="AG8" s="64">
        <f t="shared" si="0"/>
        <v>4</v>
      </c>
    </row>
    <row r="9" spans="1:33" x14ac:dyDescent="0.25">
      <c r="A9" s="20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64">
        <f t="shared" si="0"/>
        <v>0</v>
      </c>
    </row>
    <row r="10" spans="1:33" x14ac:dyDescent="0.25">
      <c r="A10" s="20" t="s">
        <v>47</v>
      </c>
      <c r="B10" s="24"/>
      <c r="C10" s="24"/>
      <c r="D10" s="24">
        <v>1435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>
        <v>4451</v>
      </c>
      <c r="AD10" s="30">
        <v>13759</v>
      </c>
      <c r="AE10" s="30">
        <v>3798</v>
      </c>
      <c r="AF10" s="24"/>
      <c r="AG10" s="64">
        <f t="shared" si="0"/>
        <v>23443</v>
      </c>
    </row>
    <row r="11" spans="1:33" x14ac:dyDescent="0.25">
      <c r="A11" s="20" t="s">
        <v>48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v>81.88</v>
      </c>
      <c r="R11" s="24"/>
      <c r="S11" s="87"/>
      <c r="T11" s="24">
        <v>1176.28</v>
      </c>
      <c r="U11" s="24"/>
      <c r="V11" s="24"/>
      <c r="W11" s="24"/>
      <c r="X11" s="24"/>
      <c r="Y11" s="24"/>
      <c r="Z11" s="24"/>
      <c r="AA11" s="24"/>
      <c r="AB11" s="24"/>
      <c r="AC11" s="24"/>
      <c r="AD11" s="30">
        <v>643</v>
      </c>
      <c r="AE11" s="30">
        <v>1140</v>
      </c>
      <c r="AF11" s="24"/>
      <c r="AG11" s="64">
        <f t="shared" si="0"/>
        <v>3041.16</v>
      </c>
    </row>
    <row r="12" spans="1:33" s="7" customFormat="1" x14ac:dyDescent="0.25">
      <c r="A12" s="3" t="s">
        <v>40</v>
      </c>
      <c r="B12" s="10">
        <f>SUM(B5:B11)</f>
        <v>0</v>
      </c>
      <c r="C12" s="10">
        <f t="shared" ref="C12:AB12" si="1">SUM(C5:C11)</f>
        <v>0</v>
      </c>
      <c r="D12" s="10">
        <f t="shared" si="1"/>
        <v>1435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81.88</v>
      </c>
      <c r="R12" s="10">
        <f t="shared" si="1"/>
        <v>0</v>
      </c>
      <c r="S12" s="10">
        <f t="shared" si="1"/>
        <v>0</v>
      </c>
      <c r="T12" s="10">
        <f t="shared" si="1"/>
        <v>3446.09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>
        <f t="shared" si="1"/>
        <v>0</v>
      </c>
      <c r="AA12" s="10">
        <f t="shared" si="1"/>
        <v>0</v>
      </c>
      <c r="AB12" s="10">
        <f t="shared" si="1"/>
        <v>0</v>
      </c>
      <c r="AC12" s="10">
        <f t="shared" ref="AC12:AF12" si="2">SUM(AC5:AC11)</f>
        <v>32153</v>
      </c>
      <c r="AD12" s="10">
        <f>SUM(AD5:AD11)</f>
        <v>14402</v>
      </c>
      <c r="AE12" s="10">
        <f t="shared" si="2"/>
        <v>11107</v>
      </c>
      <c r="AF12" s="10">
        <f t="shared" si="2"/>
        <v>0</v>
      </c>
      <c r="AG12" s="63">
        <f t="shared" si="0"/>
        <v>62624.97</v>
      </c>
    </row>
    <row r="13" spans="1:33" x14ac:dyDescent="0.25">
      <c r="A13" s="14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63"/>
    </row>
    <row r="14" spans="1:33" x14ac:dyDescent="0.25">
      <c r="A14" s="20" t="s">
        <v>50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87"/>
      <c r="T14" s="24">
        <v>533.98</v>
      </c>
      <c r="U14" s="24"/>
      <c r="V14" s="24"/>
      <c r="W14" s="24"/>
      <c r="X14" s="24"/>
      <c r="Y14" s="24"/>
      <c r="Z14" s="24"/>
      <c r="AA14" s="24"/>
      <c r="AB14" s="24"/>
      <c r="AC14" s="24">
        <v>2224</v>
      </c>
      <c r="AD14" s="30">
        <v>1350</v>
      </c>
      <c r="AE14" s="30">
        <v>3798</v>
      </c>
      <c r="AF14" s="24"/>
      <c r="AG14" s="64">
        <f t="shared" ref="AG14:AG19" si="3">SUM(B14:AF14)</f>
        <v>7905.98</v>
      </c>
    </row>
    <row r="15" spans="1:33" x14ac:dyDescent="0.25">
      <c r="A15" s="20" t="s">
        <v>51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64">
        <f t="shared" si="3"/>
        <v>0</v>
      </c>
    </row>
    <row r="16" spans="1:33" x14ac:dyDescent="0.25">
      <c r="A16" s="20" t="s">
        <v>52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64">
        <f t="shared" si="3"/>
        <v>0</v>
      </c>
    </row>
    <row r="17" spans="1:33" x14ac:dyDescent="0.25">
      <c r="A17" s="20" t="s">
        <v>53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87"/>
      <c r="T17" s="24">
        <v>2905.72</v>
      </c>
      <c r="U17" s="24"/>
      <c r="V17" s="24"/>
      <c r="W17" s="24"/>
      <c r="X17" s="24"/>
      <c r="Y17" s="24"/>
      <c r="Z17" s="24"/>
      <c r="AA17" s="24"/>
      <c r="AB17" s="24"/>
      <c r="AC17" s="24"/>
      <c r="AD17" s="30">
        <v>1420</v>
      </c>
      <c r="AE17" s="30">
        <v>1564</v>
      </c>
      <c r="AF17" s="24"/>
      <c r="AG17" s="64">
        <f t="shared" si="3"/>
        <v>5889.7199999999993</v>
      </c>
    </row>
    <row r="18" spans="1:33" x14ac:dyDescent="0.25">
      <c r="A18" s="20" t="s">
        <v>54</v>
      </c>
      <c r="B18" s="24"/>
      <c r="C18" s="24"/>
      <c r="D18" s="24">
        <v>1435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v>82</v>
      </c>
      <c r="R18" s="24"/>
      <c r="S18" s="87"/>
      <c r="T18" s="24">
        <v>6.39</v>
      </c>
      <c r="U18" s="24"/>
      <c r="V18" s="24"/>
      <c r="W18" s="24"/>
      <c r="X18" s="24"/>
      <c r="Y18" s="24"/>
      <c r="Z18" s="24"/>
      <c r="AA18" s="24"/>
      <c r="AB18" s="24"/>
      <c r="AC18" s="24">
        <v>29929</v>
      </c>
      <c r="AD18" s="30">
        <v>11632</v>
      </c>
      <c r="AE18" s="30">
        <v>5744</v>
      </c>
      <c r="AF18" s="24"/>
      <c r="AG18" s="64">
        <f t="shared" si="3"/>
        <v>48828.39</v>
      </c>
    </row>
    <row r="19" spans="1:33" s="7" customFormat="1" x14ac:dyDescent="0.25">
      <c r="A19" s="3" t="s">
        <v>40</v>
      </c>
      <c r="B19" s="10">
        <f>SUM(B14:B18)</f>
        <v>0</v>
      </c>
      <c r="C19" s="10">
        <f t="shared" ref="C19:AB19" si="4">SUM(C14:C18)</f>
        <v>0</v>
      </c>
      <c r="D19" s="10">
        <f t="shared" si="4"/>
        <v>1435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  <c r="N19" s="10">
        <f t="shared" si="4"/>
        <v>0</v>
      </c>
      <c r="O19" s="10">
        <f t="shared" si="4"/>
        <v>0</v>
      </c>
      <c r="P19" s="10">
        <f t="shared" si="4"/>
        <v>0</v>
      </c>
      <c r="Q19" s="10">
        <f t="shared" si="4"/>
        <v>82</v>
      </c>
      <c r="R19" s="10">
        <f t="shared" si="4"/>
        <v>0</v>
      </c>
      <c r="S19" s="10">
        <f t="shared" si="4"/>
        <v>0</v>
      </c>
      <c r="T19" s="10">
        <f t="shared" si="4"/>
        <v>3446.0899999999997</v>
      </c>
      <c r="U19" s="10">
        <f t="shared" si="4"/>
        <v>0</v>
      </c>
      <c r="V19" s="10">
        <f t="shared" si="4"/>
        <v>0</v>
      </c>
      <c r="W19" s="10">
        <f t="shared" si="4"/>
        <v>0</v>
      </c>
      <c r="X19" s="10">
        <f t="shared" si="4"/>
        <v>0</v>
      </c>
      <c r="Y19" s="10">
        <f t="shared" si="4"/>
        <v>0</v>
      </c>
      <c r="Z19" s="10">
        <f t="shared" si="4"/>
        <v>0</v>
      </c>
      <c r="AA19" s="10">
        <f t="shared" si="4"/>
        <v>0</v>
      </c>
      <c r="AB19" s="10">
        <f t="shared" si="4"/>
        <v>0</v>
      </c>
      <c r="AC19" s="10">
        <f t="shared" ref="AC19:AF19" si="5">SUM(AC14:AC18)</f>
        <v>32153</v>
      </c>
      <c r="AD19" s="10">
        <f t="shared" si="5"/>
        <v>14402</v>
      </c>
      <c r="AE19" s="10">
        <f t="shared" si="5"/>
        <v>11106</v>
      </c>
      <c r="AF19" s="10">
        <f t="shared" si="5"/>
        <v>0</v>
      </c>
      <c r="AG19" s="63">
        <f t="shared" si="3"/>
        <v>62624.09</v>
      </c>
    </row>
    <row r="20" spans="1:33" x14ac:dyDescent="0.25">
      <c r="A20" s="14" t="s">
        <v>55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63"/>
    </row>
    <row r="21" spans="1:33" x14ac:dyDescent="0.25">
      <c r="A21" s="20" t="s">
        <v>56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v>81.88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64">
        <f t="shared" ref="AG21:AG28" si="6">SUM(B21:AF21)</f>
        <v>81.88</v>
      </c>
    </row>
    <row r="22" spans="1:33" x14ac:dyDescent="0.25">
      <c r="A22" s="20" t="s">
        <v>44</v>
      </c>
      <c r="B22" s="24"/>
      <c r="C22" s="24"/>
      <c r="D22" s="24">
        <v>1435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87"/>
      <c r="T22" s="24">
        <v>548.63</v>
      </c>
      <c r="U22" s="24"/>
      <c r="V22" s="24"/>
      <c r="W22" s="24"/>
      <c r="X22" s="24"/>
      <c r="Y22" s="24"/>
      <c r="Z22" s="24"/>
      <c r="AA22" s="24"/>
      <c r="AB22" s="24"/>
      <c r="AC22" s="24">
        <v>32153</v>
      </c>
      <c r="AD22" s="30">
        <v>12976</v>
      </c>
      <c r="AE22" s="30">
        <v>9440</v>
      </c>
      <c r="AF22" s="24"/>
      <c r="AG22" s="64">
        <f t="shared" si="6"/>
        <v>56552.63</v>
      </c>
    </row>
    <row r="23" spans="1:33" x14ac:dyDescent="0.25">
      <c r="A23" s="20" t="s">
        <v>45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64">
        <f t="shared" si="6"/>
        <v>0</v>
      </c>
    </row>
    <row r="24" spans="1:33" x14ac:dyDescent="0.25">
      <c r="A24" s="20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64">
        <f t="shared" si="6"/>
        <v>0</v>
      </c>
    </row>
    <row r="25" spans="1:33" x14ac:dyDescent="0.25">
      <c r="A25" s="20" t="s">
        <v>44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87"/>
      <c r="T25" s="24">
        <v>2897.46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30">
        <v>1667</v>
      </c>
      <c r="AF25" s="24"/>
      <c r="AG25" s="64">
        <f t="shared" si="6"/>
        <v>4564.46</v>
      </c>
    </row>
    <row r="26" spans="1:33" x14ac:dyDescent="0.25">
      <c r="A26" s="20" t="s">
        <v>45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64">
        <f t="shared" si="6"/>
        <v>0</v>
      </c>
    </row>
    <row r="27" spans="1:33" x14ac:dyDescent="0.25">
      <c r="A27" s="20" t="s">
        <v>58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30">
        <v>1426</v>
      </c>
      <c r="AE27" s="24"/>
      <c r="AF27" s="24"/>
      <c r="AG27" s="64">
        <f t="shared" si="6"/>
        <v>1426</v>
      </c>
    </row>
    <row r="28" spans="1:33" s="7" customFormat="1" x14ac:dyDescent="0.25">
      <c r="A28" s="3" t="s">
        <v>40</v>
      </c>
      <c r="B28" s="10">
        <f>SUM(B21:B27)</f>
        <v>0</v>
      </c>
      <c r="C28" s="10">
        <f t="shared" ref="C28:AB28" si="7">SUM(C21:C27)</f>
        <v>0</v>
      </c>
      <c r="D28" s="10">
        <f t="shared" si="7"/>
        <v>1435</v>
      </c>
      <c r="E28" s="10">
        <f t="shared" si="7"/>
        <v>0</v>
      </c>
      <c r="F28" s="10">
        <f t="shared" si="7"/>
        <v>0</v>
      </c>
      <c r="G28" s="10">
        <f t="shared" si="7"/>
        <v>0</v>
      </c>
      <c r="H28" s="10">
        <f t="shared" si="7"/>
        <v>0</v>
      </c>
      <c r="I28" s="10">
        <f t="shared" si="7"/>
        <v>0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81.88</v>
      </c>
      <c r="R28" s="10">
        <f t="shared" si="7"/>
        <v>0</v>
      </c>
      <c r="S28" s="10">
        <f t="shared" si="7"/>
        <v>0</v>
      </c>
      <c r="T28" s="10">
        <f t="shared" si="7"/>
        <v>3446.09</v>
      </c>
      <c r="U28" s="10">
        <f t="shared" si="7"/>
        <v>0</v>
      </c>
      <c r="V28" s="10">
        <f t="shared" si="7"/>
        <v>0</v>
      </c>
      <c r="W28" s="10">
        <f t="shared" si="7"/>
        <v>0</v>
      </c>
      <c r="X28" s="10">
        <f t="shared" si="7"/>
        <v>0</v>
      </c>
      <c r="Y28" s="10">
        <f t="shared" si="7"/>
        <v>0</v>
      </c>
      <c r="Z28" s="10">
        <f t="shared" si="7"/>
        <v>0</v>
      </c>
      <c r="AA28" s="10">
        <f t="shared" si="7"/>
        <v>0</v>
      </c>
      <c r="AB28" s="10">
        <f t="shared" si="7"/>
        <v>0</v>
      </c>
      <c r="AC28" s="10">
        <f t="shared" ref="AC28:AF28" si="8">SUM(AC21:AC27)</f>
        <v>32153</v>
      </c>
      <c r="AD28" s="10">
        <f t="shared" si="8"/>
        <v>14402</v>
      </c>
      <c r="AE28" s="10">
        <f t="shared" si="8"/>
        <v>11107</v>
      </c>
      <c r="AF28" s="10">
        <f t="shared" si="8"/>
        <v>0</v>
      </c>
      <c r="AG28" s="63">
        <f t="shared" si="6"/>
        <v>62624.97</v>
      </c>
    </row>
    <row r="29" spans="1:33" x14ac:dyDescent="0.25">
      <c r="A29" s="14" t="s">
        <v>59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63"/>
    </row>
    <row r="30" spans="1:33" x14ac:dyDescent="0.25">
      <c r="A30" s="20" t="s">
        <v>60</v>
      </c>
      <c r="B30" s="24"/>
      <c r="C30" s="24"/>
      <c r="D30" s="24">
        <v>147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87"/>
      <c r="T30" s="24">
        <v>71.680000000000007</v>
      </c>
      <c r="U30" s="24"/>
      <c r="V30" s="24"/>
      <c r="W30" s="24"/>
      <c r="X30" s="24"/>
      <c r="Y30" s="24"/>
      <c r="Z30" s="24"/>
      <c r="AA30" s="24"/>
      <c r="AB30" s="24"/>
      <c r="AC30" s="24"/>
      <c r="AD30" s="30">
        <v>410</v>
      </c>
      <c r="AE30" s="30">
        <v>841</v>
      </c>
      <c r="AF30" s="24"/>
      <c r="AG30" s="64">
        <f>SUM(B30:AF30)</f>
        <v>1469.68</v>
      </c>
    </row>
    <row r="31" spans="1:33" x14ac:dyDescent="0.25">
      <c r="A31" s="20" t="s">
        <v>61</v>
      </c>
      <c r="B31" s="24"/>
      <c r="C31" s="24"/>
      <c r="D31" s="24">
        <v>1288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>
        <v>81.88</v>
      </c>
      <c r="R31" s="24"/>
      <c r="S31" s="87"/>
      <c r="T31" s="24">
        <v>3374.41</v>
      </c>
      <c r="U31" s="24"/>
      <c r="V31" s="24"/>
      <c r="W31" s="24"/>
      <c r="X31" s="24"/>
      <c r="Y31" s="24"/>
      <c r="Z31" s="24"/>
      <c r="AA31" s="24"/>
      <c r="AB31" s="24"/>
      <c r="AC31" s="24"/>
      <c r="AD31" s="30">
        <v>13991</v>
      </c>
      <c r="AE31" s="30">
        <v>10265</v>
      </c>
      <c r="AF31" s="24"/>
      <c r="AG31" s="64">
        <f>SUM(B31:AF31)</f>
        <v>29000.29</v>
      </c>
    </row>
    <row r="32" spans="1:33" s="7" customFormat="1" x14ac:dyDescent="0.25">
      <c r="A32" s="3" t="s">
        <v>40</v>
      </c>
      <c r="B32" s="10">
        <f>SUM(B30:B31)</f>
        <v>0</v>
      </c>
      <c r="C32" s="10">
        <f t="shared" ref="C32:AB32" si="9">SUM(C30:C31)</f>
        <v>0</v>
      </c>
      <c r="D32" s="10">
        <f t="shared" si="9"/>
        <v>1435</v>
      </c>
      <c r="E32" s="10">
        <f t="shared" si="9"/>
        <v>0</v>
      </c>
      <c r="F32" s="10">
        <f t="shared" si="9"/>
        <v>0</v>
      </c>
      <c r="G32" s="10">
        <f t="shared" si="9"/>
        <v>0</v>
      </c>
      <c r="H32" s="10">
        <f t="shared" si="9"/>
        <v>0</v>
      </c>
      <c r="I32" s="10">
        <f t="shared" si="9"/>
        <v>0</v>
      </c>
      <c r="J32" s="10">
        <f t="shared" si="9"/>
        <v>0</v>
      </c>
      <c r="K32" s="10">
        <f t="shared" si="9"/>
        <v>0</v>
      </c>
      <c r="L32" s="10">
        <f t="shared" si="9"/>
        <v>0</v>
      </c>
      <c r="M32" s="10">
        <f t="shared" si="9"/>
        <v>0</v>
      </c>
      <c r="N32" s="10">
        <f t="shared" si="9"/>
        <v>0</v>
      </c>
      <c r="O32" s="10">
        <f t="shared" si="9"/>
        <v>0</v>
      </c>
      <c r="P32" s="10">
        <f t="shared" si="9"/>
        <v>0</v>
      </c>
      <c r="Q32" s="10">
        <f t="shared" si="9"/>
        <v>81.88</v>
      </c>
      <c r="R32" s="10">
        <f t="shared" si="9"/>
        <v>0</v>
      </c>
      <c r="S32" s="10">
        <f t="shared" si="9"/>
        <v>0</v>
      </c>
      <c r="T32" s="10">
        <f t="shared" si="9"/>
        <v>3446.0899999999997</v>
      </c>
      <c r="U32" s="10">
        <f t="shared" si="9"/>
        <v>0</v>
      </c>
      <c r="V32" s="10">
        <f t="shared" si="9"/>
        <v>0</v>
      </c>
      <c r="W32" s="10">
        <f t="shared" si="9"/>
        <v>0</v>
      </c>
      <c r="X32" s="10">
        <f t="shared" si="9"/>
        <v>0</v>
      </c>
      <c r="Y32" s="10">
        <f t="shared" si="9"/>
        <v>0</v>
      </c>
      <c r="Z32" s="10">
        <f t="shared" si="9"/>
        <v>0</v>
      </c>
      <c r="AA32" s="10">
        <f t="shared" si="9"/>
        <v>0</v>
      </c>
      <c r="AB32" s="10">
        <f t="shared" si="9"/>
        <v>0</v>
      </c>
      <c r="AC32" s="10">
        <f t="shared" ref="AC32:AF32" si="10">SUM(AC30:AC31)</f>
        <v>0</v>
      </c>
      <c r="AD32" s="10">
        <f t="shared" si="10"/>
        <v>14401</v>
      </c>
      <c r="AE32" s="10">
        <f t="shared" si="10"/>
        <v>11106</v>
      </c>
      <c r="AF32" s="10">
        <f t="shared" si="10"/>
        <v>0</v>
      </c>
      <c r="AG32" s="63">
        <f>SUM(B32:AF32)</f>
        <v>30469.97</v>
      </c>
    </row>
    <row r="52" spans="30:30" x14ac:dyDescent="0.25">
      <c r="AD52" s="22">
        <v>1108872</v>
      </c>
    </row>
    <row r="53" spans="30:30" x14ac:dyDescent="0.25">
      <c r="AD53" s="22">
        <v>263612</v>
      </c>
    </row>
    <row r="54" spans="30:30" x14ac:dyDescent="0.25">
      <c r="AD54" s="22">
        <f>SUM(AD52:AD53)</f>
        <v>1372484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16" width="16" style="71" customWidth="1"/>
    <col min="17" max="17" width="18.140625" style="71" customWidth="1"/>
    <col min="18" max="29" width="16" style="71" customWidth="1"/>
    <col min="30" max="30" width="16" style="43" customWidth="1"/>
    <col min="31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311</v>
      </c>
    </row>
    <row r="2" spans="1:33" x14ac:dyDescent="0.25">
      <c r="A2" s="5" t="s">
        <v>98</v>
      </c>
    </row>
    <row r="3" spans="1:33" x14ac:dyDescent="0.25">
      <c r="A3" s="1" t="s">
        <v>0</v>
      </c>
      <c r="B3" s="104" t="s">
        <v>1</v>
      </c>
      <c r="C3" s="104" t="s">
        <v>234</v>
      </c>
      <c r="D3" s="104" t="s">
        <v>2</v>
      </c>
      <c r="E3" s="104" t="s">
        <v>3</v>
      </c>
      <c r="F3" s="104" t="s">
        <v>243</v>
      </c>
      <c r="G3" s="104" t="s">
        <v>235</v>
      </c>
      <c r="H3" s="104" t="s">
        <v>5</v>
      </c>
      <c r="I3" s="104" t="s">
        <v>4</v>
      </c>
      <c r="J3" s="104" t="s">
        <v>6</v>
      </c>
      <c r="K3" s="104" t="s">
        <v>246</v>
      </c>
      <c r="L3" s="104" t="s">
        <v>7</v>
      </c>
      <c r="M3" s="104" t="s">
        <v>8</v>
      </c>
      <c r="N3" s="104" t="s">
        <v>9</v>
      </c>
      <c r="O3" s="104" t="s">
        <v>242</v>
      </c>
      <c r="P3" s="104" t="s">
        <v>10</v>
      </c>
      <c r="Q3" s="104" t="s">
        <v>11</v>
      </c>
      <c r="R3" s="104" t="s">
        <v>236</v>
      </c>
      <c r="S3" s="104" t="s">
        <v>245</v>
      </c>
      <c r="T3" s="104" t="s">
        <v>12</v>
      </c>
      <c r="U3" s="104" t="s">
        <v>237</v>
      </c>
      <c r="V3" s="104" t="s">
        <v>238</v>
      </c>
      <c r="W3" s="104" t="s">
        <v>241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239</v>
      </c>
      <c r="AD3" s="103" t="s">
        <v>240</v>
      </c>
      <c r="AE3" s="103" t="s">
        <v>18</v>
      </c>
      <c r="AF3" s="104" t="s">
        <v>19</v>
      </c>
      <c r="AG3" s="78" t="s">
        <v>20</v>
      </c>
    </row>
    <row r="4" spans="1:33" x14ac:dyDescent="0.25">
      <c r="A4" s="2" t="s">
        <v>62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46"/>
      <c r="AE4" s="92"/>
      <c r="AF4" s="92"/>
      <c r="AG4" s="63">
        <f t="shared" ref="AG4:AG19" si="0">SUM(B4:AF4)</f>
        <v>0</v>
      </c>
    </row>
    <row r="5" spans="1:33" x14ac:dyDescent="0.25">
      <c r="A5" s="2" t="s">
        <v>63</v>
      </c>
      <c r="B5" s="92">
        <v>70</v>
      </c>
      <c r="C5" s="92">
        <v>8181</v>
      </c>
      <c r="D5" s="92">
        <v>3888</v>
      </c>
      <c r="E5" s="92">
        <v>3080</v>
      </c>
      <c r="F5" s="92">
        <v>2695</v>
      </c>
      <c r="G5" s="92">
        <v>1737</v>
      </c>
      <c r="H5" s="92">
        <v>161.53</v>
      </c>
      <c r="I5" s="92">
        <v>1142</v>
      </c>
      <c r="J5" s="92">
        <v>739.95</v>
      </c>
      <c r="K5" s="92">
        <v>32</v>
      </c>
      <c r="L5" s="92">
        <v>4792</v>
      </c>
      <c r="M5" s="92">
        <v>19151</v>
      </c>
      <c r="N5" s="92">
        <v>1839</v>
      </c>
      <c r="O5" s="92">
        <v>233</v>
      </c>
      <c r="P5" s="92">
        <v>1486</v>
      </c>
      <c r="Q5" s="92">
        <v>1741.76</v>
      </c>
      <c r="R5" s="92">
        <v>1272.6600000000001</v>
      </c>
      <c r="S5" s="92">
        <v>2711</v>
      </c>
      <c r="T5" s="92">
        <v>4240</v>
      </c>
      <c r="U5" s="92"/>
      <c r="V5" s="92">
        <v>378</v>
      </c>
      <c r="W5" s="92">
        <v>4357</v>
      </c>
      <c r="X5" s="92">
        <v>536</v>
      </c>
      <c r="Y5" s="92">
        <v>7071</v>
      </c>
      <c r="Z5" s="92">
        <v>137</v>
      </c>
      <c r="AA5" s="92">
        <v>5080</v>
      </c>
      <c r="AB5" s="92">
        <v>12891</v>
      </c>
      <c r="AC5" s="92">
        <v>95.51</v>
      </c>
      <c r="AD5" s="46">
        <v>284</v>
      </c>
      <c r="AE5" s="92">
        <v>121</v>
      </c>
      <c r="AF5" s="92">
        <v>321</v>
      </c>
      <c r="AG5" s="64">
        <f t="shared" si="0"/>
        <v>90464.409999999989</v>
      </c>
    </row>
    <row r="6" spans="1:33" x14ac:dyDescent="0.25">
      <c r="A6" s="2" t="s">
        <v>64</v>
      </c>
      <c r="B6" s="92"/>
      <c r="C6" s="92"/>
      <c r="D6" s="92"/>
      <c r="E6" s="92">
        <v>8882</v>
      </c>
      <c r="F6" s="92"/>
      <c r="G6" s="92">
        <v>587</v>
      </c>
      <c r="H6" s="92">
        <v>7481.52</v>
      </c>
      <c r="I6" s="92"/>
      <c r="J6" s="92"/>
      <c r="K6" s="92"/>
      <c r="L6" s="92"/>
      <c r="M6" s="92">
        <v>24118</v>
      </c>
      <c r="N6" s="92">
        <v>378</v>
      </c>
      <c r="O6" s="92"/>
      <c r="P6" s="92"/>
      <c r="Q6" s="92"/>
      <c r="R6" s="92"/>
      <c r="S6" s="92"/>
      <c r="T6" s="92">
        <v>65</v>
      </c>
      <c r="U6" s="92"/>
      <c r="V6" s="92"/>
      <c r="W6" s="92"/>
      <c r="X6" s="92"/>
      <c r="Y6" s="92"/>
      <c r="Z6" s="92"/>
      <c r="AA6" s="92"/>
      <c r="AB6" s="92"/>
      <c r="AC6" s="92">
        <v>1343.9</v>
      </c>
      <c r="AD6" s="46">
        <v>595</v>
      </c>
      <c r="AE6" s="92">
        <v>1318</v>
      </c>
      <c r="AF6" s="92"/>
      <c r="AG6" s="64">
        <f t="shared" si="0"/>
        <v>44768.420000000006</v>
      </c>
    </row>
    <row r="7" spans="1:33" x14ac:dyDescent="0.25">
      <c r="A7" s="2" t="s">
        <v>65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>
        <v>2064</v>
      </c>
      <c r="AA7" s="92"/>
      <c r="AB7" s="92"/>
      <c r="AC7" s="92"/>
      <c r="AD7" s="46">
        <v>35111</v>
      </c>
      <c r="AE7" s="92">
        <v>1960</v>
      </c>
      <c r="AF7" s="92"/>
      <c r="AG7" s="64">
        <f t="shared" si="0"/>
        <v>39135</v>
      </c>
    </row>
    <row r="8" spans="1:33" x14ac:dyDescent="0.25">
      <c r="A8" s="2" t="s">
        <v>66</v>
      </c>
      <c r="B8" s="92"/>
      <c r="C8" s="92"/>
      <c r="D8" s="92">
        <v>9162</v>
      </c>
      <c r="E8" s="92">
        <v>111</v>
      </c>
      <c r="F8" s="92">
        <v>109</v>
      </c>
      <c r="G8" s="92"/>
      <c r="H8" s="92">
        <v>5308.78</v>
      </c>
      <c r="I8" s="92"/>
      <c r="J8" s="92">
        <v>521</v>
      </c>
      <c r="K8" s="92">
        <v>560</v>
      </c>
      <c r="L8" s="92">
        <v>52</v>
      </c>
      <c r="M8" s="92"/>
      <c r="N8" s="92"/>
      <c r="O8" s="92">
        <v>3</v>
      </c>
      <c r="P8" s="92"/>
      <c r="Q8" s="92">
        <v>91.14</v>
      </c>
      <c r="R8" s="92">
        <v>52.33</v>
      </c>
      <c r="S8" s="92">
        <v>900</v>
      </c>
      <c r="T8" s="92">
        <v>2869</v>
      </c>
      <c r="U8" s="92">
        <v>4</v>
      </c>
      <c r="V8" s="92">
        <v>61</v>
      </c>
      <c r="W8" s="92">
        <v>335</v>
      </c>
      <c r="X8" s="92">
        <v>241</v>
      </c>
      <c r="Y8" s="92">
        <v>1179</v>
      </c>
      <c r="Z8" s="92">
        <v>125</v>
      </c>
      <c r="AA8" s="92">
        <v>116</v>
      </c>
      <c r="AB8" s="92">
        <v>341</v>
      </c>
      <c r="AC8" s="92">
        <v>2849.29</v>
      </c>
      <c r="AD8" s="46"/>
      <c r="AE8" s="92"/>
      <c r="AF8" s="92"/>
      <c r="AG8" s="64">
        <f t="shared" si="0"/>
        <v>24990.54</v>
      </c>
    </row>
    <row r="9" spans="1:33" x14ac:dyDescent="0.25">
      <c r="A9" s="2" t="s">
        <v>67</v>
      </c>
      <c r="B9" s="92"/>
      <c r="C9" s="92"/>
      <c r="D9" s="92">
        <v>3043</v>
      </c>
      <c r="E9" s="92">
        <v>22330</v>
      </c>
      <c r="F9" s="92"/>
      <c r="G9" s="92">
        <v>3584</v>
      </c>
      <c r="H9" s="92">
        <v>2708.9</v>
      </c>
      <c r="I9" s="92"/>
      <c r="J9" s="92"/>
      <c r="K9" s="92">
        <v>8863</v>
      </c>
      <c r="L9" s="92">
        <v>13375</v>
      </c>
      <c r="M9" s="92">
        <v>3597</v>
      </c>
      <c r="N9" s="92">
        <v>99</v>
      </c>
      <c r="O9" s="92"/>
      <c r="P9" s="92"/>
      <c r="Q9" s="92"/>
      <c r="R9" s="92"/>
      <c r="S9" s="92"/>
      <c r="T9" s="92">
        <v>7344</v>
      </c>
      <c r="U9" s="92"/>
      <c r="V9" s="92"/>
      <c r="W9" s="92"/>
      <c r="X9" s="92"/>
      <c r="Y9" s="92">
        <v>10334</v>
      </c>
      <c r="Z9" s="92">
        <v>1412</v>
      </c>
      <c r="AA9" s="92">
        <v>623</v>
      </c>
      <c r="AB9" s="92">
        <v>7403</v>
      </c>
      <c r="AC9" s="92">
        <v>12533.59</v>
      </c>
      <c r="AD9" s="46">
        <v>5680</v>
      </c>
      <c r="AE9" s="92">
        <v>3413</v>
      </c>
      <c r="AF9" s="92"/>
      <c r="AG9" s="64">
        <f t="shared" si="0"/>
        <v>106342.48999999999</v>
      </c>
    </row>
    <row r="10" spans="1:33" x14ac:dyDescent="0.25">
      <c r="A10" s="2" t="s">
        <v>68</v>
      </c>
      <c r="B10" s="92">
        <v>2</v>
      </c>
      <c r="C10" s="92">
        <v>58</v>
      </c>
      <c r="D10" s="92">
        <v>386</v>
      </c>
      <c r="E10" s="92">
        <v>903</v>
      </c>
      <c r="F10" s="92">
        <v>29</v>
      </c>
      <c r="G10" s="92">
        <v>52</v>
      </c>
      <c r="H10" s="92">
        <v>229.92</v>
      </c>
      <c r="I10" s="92">
        <v>10</v>
      </c>
      <c r="J10" s="92">
        <v>128.74</v>
      </c>
      <c r="K10" s="92">
        <v>237</v>
      </c>
      <c r="L10" s="92">
        <v>1719</v>
      </c>
      <c r="M10" s="92">
        <v>3754</v>
      </c>
      <c r="N10" s="92">
        <v>4044</v>
      </c>
      <c r="O10" s="92">
        <v>1.3</v>
      </c>
      <c r="P10" s="92">
        <v>8</v>
      </c>
      <c r="Q10" s="92">
        <v>4.07</v>
      </c>
      <c r="R10" s="92">
        <v>21.66</v>
      </c>
      <c r="S10" s="92">
        <v>192</v>
      </c>
      <c r="T10" s="92">
        <v>992</v>
      </c>
      <c r="U10" s="92">
        <v>20</v>
      </c>
      <c r="V10" s="92">
        <v>36</v>
      </c>
      <c r="W10" s="92">
        <v>247</v>
      </c>
      <c r="X10" s="92">
        <v>81</v>
      </c>
      <c r="Y10" s="92">
        <v>556</v>
      </c>
      <c r="Z10" s="92">
        <v>329</v>
      </c>
      <c r="AA10" s="92">
        <v>1361</v>
      </c>
      <c r="AB10" s="92">
        <v>96</v>
      </c>
      <c r="AC10" s="92">
        <v>3032.45</v>
      </c>
      <c r="AD10" s="46">
        <v>756</v>
      </c>
      <c r="AE10" s="92">
        <v>450</v>
      </c>
      <c r="AF10" s="92">
        <v>58</v>
      </c>
      <c r="AG10" s="64">
        <f t="shared" si="0"/>
        <v>19794.14</v>
      </c>
    </row>
    <row r="11" spans="1:33" x14ac:dyDescent="0.25">
      <c r="A11" s="2" t="s">
        <v>69</v>
      </c>
      <c r="B11" s="92">
        <v>530</v>
      </c>
      <c r="C11" s="92">
        <v>721</v>
      </c>
      <c r="D11" s="92">
        <v>2547</v>
      </c>
      <c r="E11" s="92">
        <v>2459</v>
      </c>
      <c r="F11" s="92">
        <v>1693</v>
      </c>
      <c r="G11" s="92">
        <v>1016</v>
      </c>
      <c r="H11" s="92">
        <v>206.81</v>
      </c>
      <c r="I11" s="92">
        <v>65</v>
      </c>
      <c r="J11" s="92">
        <v>989.12</v>
      </c>
      <c r="K11" s="92">
        <v>1046</v>
      </c>
      <c r="L11" s="92">
        <v>3784</v>
      </c>
      <c r="M11" s="92">
        <v>2480</v>
      </c>
      <c r="N11" s="92">
        <v>2510</v>
      </c>
      <c r="O11" s="92">
        <v>528</v>
      </c>
      <c r="P11" s="92">
        <v>582</v>
      </c>
      <c r="Q11" s="92">
        <v>428.99</v>
      </c>
      <c r="R11" s="92">
        <v>577</v>
      </c>
      <c r="S11" s="92">
        <f>486+138</f>
        <v>624</v>
      </c>
      <c r="T11" s="92">
        <v>4655</v>
      </c>
      <c r="U11" s="92"/>
      <c r="V11" s="92">
        <v>109</v>
      </c>
      <c r="W11" s="92">
        <v>803</v>
      </c>
      <c r="X11" s="92">
        <f>623+216</f>
        <v>839</v>
      </c>
      <c r="Y11" s="92">
        <v>1948</v>
      </c>
      <c r="Z11" s="92">
        <v>203</v>
      </c>
      <c r="AA11" s="92">
        <v>2770</v>
      </c>
      <c r="AB11" s="92">
        <v>3473</v>
      </c>
      <c r="AC11" s="92">
        <v>7967.2</v>
      </c>
      <c r="AD11" s="46">
        <v>2520</v>
      </c>
      <c r="AE11" s="92">
        <v>2085</v>
      </c>
      <c r="AF11" s="92">
        <v>1356</v>
      </c>
      <c r="AG11" s="64">
        <f t="shared" si="0"/>
        <v>51515.119999999995</v>
      </c>
    </row>
    <row r="12" spans="1:33" x14ac:dyDescent="0.25">
      <c r="A12" s="2" t="s">
        <v>70</v>
      </c>
      <c r="B12" s="92"/>
      <c r="C12" s="92">
        <v>244</v>
      </c>
      <c r="D12" s="92">
        <v>131</v>
      </c>
      <c r="E12" s="92">
        <v>655</v>
      </c>
      <c r="F12" s="92"/>
      <c r="G12" s="92">
        <v>364</v>
      </c>
      <c r="H12" s="92">
        <v>791.51</v>
      </c>
      <c r="I12" s="92"/>
      <c r="J12" s="92"/>
      <c r="K12" s="92"/>
      <c r="L12" s="92">
        <v>662</v>
      </c>
      <c r="M12" s="92">
        <v>496</v>
      </c>
      <c r="N12" s="92">
        <v>179</v>
      </c>
      <c r="O12" s="92">
        <v>129</v>
      </c>
      <c r="P12" s="92">
        <v>20</v>
      </c>
      <c r="Q12" s="92">
        <v>21.29</v>
      </c>
      <c r="R12" s="92"/>
      <c r="S12" s="92"/>
      <c r="T12" s="92">
        <v>3264</v>
      </c>
      <c r="U12" s="92"/>
      <c r="V12" s="92">
        <v>22</v>
      </c>
      <c r="W12" s="92">
        <v>30</v>
      </c>
      <c r="X12" s="92">
        <v>18</v>
      </c>
      <c r="Y12" s="92"/>
      <c r="Z12" s="92">
        <v>1</v>
      </c>
      <c r="AA12" s="92">
        <v>193</v>
      </c>
      <c r="AB12" s="92">
        <v>204</v>
      </c>
      <c r="AC12" s="92">
        <v>9789.7900000000009</v>
      </c>
      <c r="AD12" s="46">
        <v>2931</v>
      </c>
      <c r="AE12" s="92">
        <v>2676</v>
      </c>
      <c r="AF12" s="92">
        <v>47</v>
      </c>
      <c r="AG12" s="64">
        <f t="shared" si="0"/>
        <v>22868.59</v>
      </c>
    </row>
    <row r="13" spans="1:33" x14ac:dyDescent="0.25">
      <c r="A13" s="2" t="s">
        <v>71</v>
      </c>
      <c r="B13" s="92">
        <v>5</v>
      </c>
      <c r="C13" s="92">
        <v>145</v>
      </c>
      <c r="D13" s="92">
        <v>36</v>
      </c>
      <c r="E13" s="92">
        <v>423</v>
      </c>
      <c r="F13" s="92">
        <v>298</v>
      </c>
      <c r="G13" s="92">
        <v>44</v>
      </c>
      <c r="H13" s="92">
        <v>70.239999999999995</v>
      </c>
      <c r="I13" s="92">
        <v>9</v>
      </c>
      <c r="J13" s="92">
        <v>247.57</v>
      </c>
      <c r="K13" s="92"/>
      <c r="L13" s="92">
        <v>762</v>
      </c>
      <c r="M13" s="92">
        <v>4343</v>
      </c>
      <c r="N13" s="92">
        <v>980</v>
      </c>
      <c r="O13" s="92">
        <v>9</v>
      </c>
      <c r="P13" s="92">
        <v>144</v>
      </c>
      <c r="Q13" s="92">
        <v>3.96</v>
      </c>
      <c r="R13" s="92">
        <v>57.97</v>
      </c>
      <c r="S13" s="92">
        <v>553</v>
      </c>
      <c r="T13" s="92">
        <v>137</v>
      </c>
      <c r="U13" s="92">
        <v>20</v>
      </c>
      <c r="V13" s="92">
        <v>9</v>
      </c>
      <c r="W13" s="92">
        <v>442</v>
      </c>
      <c r="X13" s="92">
        <v>126</v>
      </c>
      <c r="Y13" s="92">
        <v>811</v>
      </c>
      <c r="Z13" s="92">
        <v>190</v>
      </c>
      <c r="AA13" s="92">
        <v>1057</v>
      </c>
      <c r="AB13" s="92">
        <v>200</v>
      </c>
      <c r="AC13" s="92">
        <v>158.76</v>
      </c>
      <c r="AD13" s="46">
        <v>111</v>
      </c>
      <c r="AE13" s="92">
        <v>190</v>
      </c>
      <c r="AF13" s="92">
        <v>59</v>
      </c>
      <c r="AG13" s="64">
        <f t="shared" si="0"/>
        <v>11641.5</v>
      </c>
    </row>
    <row r="14" spans="1:33" x14ac:dyDescent="0.25">
      <c r="A14" s="2" t="s">
        <v>72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v>26.93</v>
      </c>
      <c r="R14" s="92"/>
      <c r="S14" s="92"/>
      <c r="T14" s="92">
        <v>767</v>
      </c>
      <c r="U14" s="92"/>
      <c r="V14" s="92"/>
      <c r="W14" s="92"/>
      <c r="X14" s="92"/>
      <c r="Y14" s="92"/>
      <c r="Z14" s="92"/>
      <c r="AA14" s="92"/>
      <c r="AB14" s="92"/>
      <c r="AC14" s="92"/>
      <c r="AD14" s="46"/>
      <c r="AE14" s="92"/>
      <c r="AF14" s="92"/>
      <c r="AG14" s="64">
        <f t="shared" si="0"/>
        <v>793.93</v>
      </c>
    </row>
    <row r="15" spans="1:33" x14ac:dyDescent="0.25">
      <c r="A15" s="2" t="s">
        <v>73</v>
      </c>
      <c r="B15" s="92">
        <f>B16-B14-B13-B12-B11-B10-B9-B8-B7-B6-B5-B4</f>
        <v>0</v>
      </c>
      <c r="C15" s="92">
        <f t="shared" ref="C15:AB15" si="1">C16-C14-C13-C12-C11-C10-C9-C8-C7-C6-C5-C4</f>
        <v>775</v>
      </c>
      <c r="D15" s="92">
        <f t="shared" si="1"/>
        <v>36</v>
      </c>
      <c r="E15" s="92">
        <f t="shared" si="1"/>
        <v>0</v>
      </c>
      <c r="F15" s="92">
        <f t="shared" si="1"/>
        <v>0</v>
      </c>
      <c r="G15" s="92">
        <f>G16-G14-G13-G12-G11-G10-G9-G8-G7-G6-G5-G4</f>
        <v>258</v>
      </c>
      <c r="H15" s="92">
        <f t="shared" si="1"/>
        <v>-2.0747847884194925E-12</v>
      </c>
      <c r="I15" s="92">
        <f t="shared" si="1"/>
        <v>-1</v>
      </c>
      <c r="J15" s="92">
        <f t="shared" si="1"/>
        <v>0</v>
      </c>
      <c r="K15" s="92">
        <f t="shared" si="1"/>
        <v>1254</v>
      </c>
      <c r="L15" s="92">
        <f t="shared" si="1"/>
        <v>0</v>
      </c>
      <c r="M15" s="92">
        <f t="shared" si="1"/>
        <v>0</v>
      </c>
      <c r="N15" s="92">
        <f t="shared" si="1"/>
        <v>0</v>
      </c>
      <c r="O15" s="92">
        <f t="shared" si="1"/>
        <v>0.69999999999998863</v>
      </c>
      <c r="P15" s="92">
        <f t="shared" si="1"/>
        <v>181</v>
      </c>
      <c r="Q15" s="92">
        <f t="shared" si="1"/>
        <v>0</v>
      </c>
      <c r="R15" s="92">
        <f t="shared" si="1"/>
        <v>-5.0000000000002274</v>
      </c>
      <c r="S15" s="92">
        <f t="shared" si="1"/>
        <v>0</v>
      </c>
      <c r="T15" s="92">
        <f t="shared" si="1"/>
        <v>17</v>
      </c>
      <c r="U15" s="92">
        <f t="shared" si="1"/>
        <v>0</v>
      </c>
      <c r="V15" s="92">
        <f t="shared" si="1"/>
        <v>-1</v>
      </c>
      <c r="W15" s="92">
        <f t="shared" si="1"/>
        <v>1</v>
      </c>
      <c r="X15" s="92">
        <f t="shared" si="1"/>
        <v>0</v>
      </c>
      <c r="Y15" s="92">
        <f t="shared" si="1"/>
        <v>1</v>
      </c>
      <c r="Z15" s="92">
        <f t="shared" si="1"/>
        <v>1</v>
      </c>
      <c r="AA15" s="92">
        <f t="shared" si="1"/>
        <v>3</v>
      </c>
      <c r="AB15" s="92">
        <f t="shared" si="1"/>
        <v>613</v>
      </c>
      <c r="AC15" s="92">
        <f t="shared" ref="AC15:AF15" si="2">AC16-AC14-AC13-AC12-AC11-AC10-AC9-AC8-AC7-AC6-AC5-AC4</f>
        <v>1970.5899999999972</v>
      </c>
      <c r="AD15" s="46">
        <f t="shared" si="2"/>
        <v>721</v>
      </c>
      <c r="AE15" s="92">
        <f t="shared" si="2"/>
        <v>1071</v>
      </c>
      <c r="AF15" s="92">
        <f t="shared" si="2"/>
        <v>-2</v>
      </c>
      <c r="AG15" s="64">
        <f t="shared" si="0"/>
        <v>6894.2899999999954</v>
      </c>
    </row>
    <row r="16" spans="1:33" s="7" customFormat="1" x14ac:dyDescent="0.25">
      <c r="A16" s="3" t="s">
        <v>40</v>
      </c>
      <c r="B16" s="10">
        <v>607</v>
      </c>
      <c r="C16" s="10">
        <v>10124</v>
      </c>
      <c r="D16" s="10">
        <v>19229</v>
      </c>
      <c r="E16" s="10">
        <v>38843</v>
      </c>
      <c r="F16" s="10">
        <v>4824</v>
      </c>
      <c r="G16" s="10">
        <v>7642</v>
      </c>
      <c r="H16" s="10">
        <v>16959.21</v>
      </c>
      <c r="I16" s="10">
        <v>1225</v>
      </c>
      <c r="J16" s="10">
        <v>2626.38</v>
      </c>
      <c r="K16" s="10">
        <v>11992</v>
      </c>
      <c r="L16" s="10">
        <v>25146</v>
      </c>
      <c r="M16" s="10">
        <v>57939</v>
      </c>
      <c r="N16" s="10">
        <v>10029</v>
      </c>
      <c r="O16" s="10">
        <v>904</v>
      </c>
      <c r="P16" s="10">
        <v>2421</v>
      </c>
      <c r="Q16" s="10">
        <v>2318.14</v>
      </c>
      <c r="R16" s="10">
        <v>1976.62</v>
      </c>
      <c r="S16" s="10">
        <v>4980</v>
      </c>
      <c r="T16" s="10">
        <v>24350</v>
      </c>
      <c r="U16" s="10">
        <v>44</v>
      </c>
      <c r="V16" s="10">
        <v>614</v>
      </c>
      <c r="W16" s="10">
        <v>6215</v>
      </c>
      <c r="X16" s="10">
        <v>1841</v>
      </c>
      <c r="Y16" s="10">
        <v>21900</v>
      </c>
      <c r="Z16" s="10">
        <v>4462</v>
      </c>
      <c r="AA16" s="10">
        <v>11203</v>
      </c>
      <c r="AB16" s="10">
        <v>25221</v>
      </c>
      <c r="AC16" s="10">
        <v>39741.08</v>
      </c>
      <c r="AD16" s="48">
        <v>48709</v>
      </c>
      <c r="AE16" s="10">
        <v>13284</v>
      </c>
      <c r="AF16" s="10">
        <v>1839</v>
      </c>
      <c r="AG16" s="63">
        <f t="shared" si="0"/>
        <v>419208.43</v>
      </c>
    </row>
    <row r="17" spans="1:33" x14ac:dyDescent="0.25">
      <c r="A17" s="2" t="s">
        <v>74</v>
      </c>
      <c r="B17" s="92"/>
      <c r="C17" s="74">
        <v>46</v>
      </c>
      <c r="D17" s="92"/>
      <c r="E17" s="92">
        <v>3158</v>
      </c>
      <c r="F17" s="92">
        <v>86</v>
      </c>
      <c r="G17" s="92">
        <v>487</v>
      </c>
      <c r="H17" s="92">
        <v>14862.59</v>
      </c>
      <c r="I17" s="92">
        <v>246</v>
      </c>
      <c r="J17" s="92">
        <v>2081.73</v>
      </c>
      <c r="K17" s="92">
        <v>187</v>
      </c>
      <c r="L17" s="92">
        <v>3125</v>
      </c>
      <c r="M17" s="92">
        <v>1156</v>
      </c>
      <c r="N17" s="92"/>
      <c r="O17" s="92"/>
      <c r="P17" s="92">
        <v>2204</v>
      </c>
      <c r="Q17" s="92">
        <v>174.95</v>
      </c>
      <c r="R17" s="92">
        <v>346.96</v>
      </c>
      <c r="S17" s="92">
        <v>35</v>
      </c>
      <c r="T17" s="92"/>
      <c r="U17" s="92"/>
      <c r="V17" s="92">
        <v>155</v>
      </c>
      <c r="W17" s="92">
        <v>2637</v>
      </c>
      <c r="X17" s="92">
        <v>58</v>
      </c>
      <c r="Y17" s="92">
        <v>258</v>
      </c>
      <c r="Z17" s="92"/>
      <c r="AA17" s="92">
        <v>281</v>
      </c>
      <c r="AB17" s="92">
        <v>1586</v>
      </c>
      <c r="AC17" s="92">
        <v>4115.8599999999997</v>
      </c>
      <c r="AD17" s="46">
        <v>2813</v>
      </c>
      <c r="AE17" s="92">
        <v>15000</v>
      </c>
      <c r="AF17" s="92">
        <v>615</v>
      </c>
      <c r="AG17" s="64">
        <f t="shared" si="0"/>
        <v>55715.09</v>
      </c>
    </row>
    <row r="18" spans="1:33" ht="30" x14ac:dyDescent="0.25">
      <c r="A18" s="2" t="s">
        <v>75</v>
      </c>
      <c r="B18" s="92"/>
      <c r="C18" s="74">
        <v>67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46"/>
      <c r="AE18" s="92"/>
      <c r="AF18" s="92"/>
      <c r="AG18" s="64">
        <f t="shared" si="0"/>
        <v>67</v>
      </c>
    </row>
    <row r="19" spans="1:33" s="7" customFormat="1" x14ac:dyDescent="0.25">
      <c r="A19" s="3" t="s">
        <v>76</v>
      </c>
      <c r="B19" s="10">
        <f>B16+B17+B18</f>
        <v>607</v>
      </c>
      <c r="C19" s="75">
        <f t="shared" ref="C19:AB19" si="3">C16+C17+C18</f>
        <v>10237</v>
      </c>
      <c r="D19" s="10">
        <f t="shared" si="3"/>
        <v>19229</v>
      </c>
      <c r="E19" s="10">
        <f t="shared" si="3"/>
        <v>42001</v>
      </c>
      <c r="F19" s="10">
        <f t="shared" si="3"/>
        <v>4910</v>
      </c>
      <c r="G19" s="10">
        <f t="shared" si="3"/>
        <v>8129</v>
      </c>
      <c r="H19" s="10">
        <f t="shared" si="3"/>
        <v>31821.8</v>
      </c>
      <c r="I19" s="10">
        <f t="shared" si="3"/>
        <v>1471</v>
      </c>
      <c r="J19" s="10">
        <f t="shared" si="3"/>
        <v>4708.1100000000006</v>
      </c>
      <c r="K19" s="10">
        <f t="shared" si="3"/>
        <v>12179</v>
      </c>
      <c r="L19" s="10">
        <f t="shared" si="3"/>
        <v>28271</v>
      </c>
      <c r="M19" s="10">
        <f t="shared" si="3"/>
        <v>59095</v>
      </c>
      <c r="N19" s="10">
        <f t="shared" si="3"/>
        <v>10029</v>
      </c>
      <c r="O19" s="10">
        <f t="shared" si="3"/>
        <v>904</v>
      </c>
      <c r="P19" s="10">
        <f t="shared" si="3"/>
        <v>4625</v>
      </c>
      <c r="Q19" s="10">
        <f t="shared" si="3"/>
        <v>2493.0899999999997</v>
      </c>
      <c r="R19" s="10">
        <f t="shared" si="3"/>
        <v>2323.58</v>
      </c>
      <c r="S19" s="10">
        <f t="shared" si="3"/>
        <v>5015</v>
      </c>
      <c r="T19" s="10">
        <f t="shared" si="3"/>
        <v>24350</v>
      </c>
      <c r="U19" s="10">
        <f t="shared" si="3"/>
        <v>44</v>
      </c>
      <c r="V19" s="10">
        <f t="shared" si="3"/>
        <v>769</v>
      </c>
      <c r="W19" s="10">
        <f t="shared" si="3"/>
        <v>8852</v>
      </c>
      <c r="X19" s="10">
        <f t="shared" si="3"/>
        <v>1899</v>
      </c>
      <c r="Y19" s="10">
        <f t="shared" si="3"/>
        <v>22158</v>
      </c>
      <c r="Z19" s="10">
        <f t="shared" si="3"/>
        <v>4462</v>
      </c>
      <c r="AA19" s="10">
        <f t="shared" si="3"/>
        <v>11484</v>
      </c>
      <c r="AB19" s="10">
        <f t="shared" si="3"/>
        <v>26807</v>
      </c>
      <c r="AC19" s="10">
        <f t="shared" ref="AC19:AF19" si="4">AC16+AC17+AC18</f>
        <v>43856.94</v>
      </c>
      <c r="AD19" s="48">
        <f t="shared" si="4"/>
        <v>51522</v>
      </c>
      <c r="AE19" s="10">
        <f t="shared" si="4"/>
        <v>28284</v>
      </c>
      <c r="AF19" s="10">
        <f t="shared" si="4"/>
        <v>2454</v>
      </c>
      <c r="AG19" s="63">
        <f t="shared" si="0"/>
        <v>474990.51999999996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1" customWidth="1"/>
    <col min="2" max="3" width="16" style="71" customWidth="1"/>
    <col min="4" max="4" width="16" style="43" customWidth="1"/>
    <col min="5" max="32" width="16" style="71" customWidth="1"/>
    <col min="33" max="33" width="16" style="50" customWidth="1"/>
    <col min="34" max="16384" width="9.140625" style="71"/>
  </cols>
  <sheetData>
    <row r="1" spans="1:33" ht="18.75" x14ac:dyDescent="0.3">
      <c r="A1" s="12" t="s">
        <v>312</v>
      </c>
    </row>
    <row r="2" spans="1:33" x14ac:dyDescent="0.25">
      <c r="A2" s="5" t="s">
        <v>98</v>
      </c>
    </row>
    <row r="3" spans="1:33" x14ac:dyDescent="0.25">
      <c r="A3" s="1" t="s">
        <v>0</v>
      </c>
      <c r="B3" s="104" t="s">
        <v>1</v>
      </c>
      <c r="C3" s="104" t="s">
        <v>234</v>
      </c>
      <c r="D3" s="104" t="s">
        <v>2</v>
      </c>
      <c r="E3" s="104" t="s">
        <v>3</v>
      </c>
      <c r="F3" s="104" t="s">
        <v>243</v>
      </c>
      <c r="G3" s="104" t="s">
        <v>235</v>
      </c>
      <c r="H3" s="104" t="s">
        <v>5</v>
      </c>
      <c r="I3" s="104" t="s">
        <v>4</v>
      </c>
      <c r="J3" s="104" t="s">
        <v>6</v>
      </c>
      <c r="K3" s="104" t="s">
        <v>246</v>
      </c>
      <c r="L3" s="104" t="s">
        <v>7</v>
      </c>
      <c r="M3" s="104" t="s">
        <v>8</v>
      </c>
      <c r="N3" s="104" t="s">
        <v>9</v>
      </c>
      <c r="O3" s="104" t="s">
        <v>242</v>
      </c>
      <c r="P3" s="104" t="s">
        <v>10</v>
      </c>
      <c r="Q3" s="104" t="s">
        <v>11</v>
      </c>
      <c r="R3" s="104" t="s">
        <v>236</v>
      </c>
      <c r="S3" s="104" t="s">
        <v>245</v>
      </c>
      <c r="T3" s="104" t="s">
        <v>12</v>
      </c>
      <c r="U3" s="104" t="s">
        <v>237</v>
      </c>
      <c r="V3" s="104" t="s">
        <v>238</v>
      </c>
      <c r="W3" s="104" t="s">
        <v>241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239</v>
      </c>
      <c r="AD3" s="103" t="s">
        <v>240</v>
      </c>
      <c r="AE3" s="103" t="s">
        <v>18</v>
      </c>
      <c r="AF3" s="104" t="s">
        <v>19</v>
      </c>
      <c r="AG3" s="78" t="s">
        <v>20</v>
      </c>
    </row>
    <row r="4" spans="1:33" ht="15" customHeight="1" x14ac:dyDescent="0.25">
      <c r="A4" s="2" t="s">
        <v>77</v>
      </c>
      <c r="B4" s="92">
        <v>13</v>
      </c>
      <c r="C4" s="92">
        <v>801</v>
      </c>
      <c r="D4" s="46">
        <v>0.82</v>
      </c>
      <c r="E4" s="92">
        <v>3298</v>
      </c>
      <c r="F4" s="92">
        <v>563</v>
      </c>
      <c r="G4" s="92">
        <v>576</v>
      </c>
      <c r="H4" s="92">
        <v>2.54</v>
      </c>
      <c r="I4" s="92">
        <v>25</v>
      </c>
      <c r="J4" s="92">
        <v>146.30000000000001</v>
      </c>
      <c r="K4" s="92">
        <v>2285</v>
      </c>
      <c r="L4" s="92">
        <v>3016</v>
      </c>
      <c r="M4" s="92">
        <v>916</v>
      </c>
      <c r="N4" s="92">
        <v>131</v>
      </c>
      <c r="O4" s="92">
        <v>111</v>
      </c>
      <c r="P4" s="92">
        <v>119</v>
      </c>
      <c r="Q4" s="92">
        <v>33.979999999999997</v>
      </c>
      <c r="R4" s="92">
        <v>44.62</v>
      </c>
      <c r="S4" s="92">
        <v>103</v>
      </c>
      <c r="T4" s="92">
        <v>889.33</v>
      </c>
      <c r="U4" s="92">
        <v>23</v>
      </c>
      <c r="V4" s="92">
        <v>1</v>
      </c>
      <c r="W4" s="92">
        <v>92</v>
      </c>
      <c r="X4" s="92">
        <v>686</v>
      </c>
      <c r="Y4" s="92">
        <v>605</v>
      </c>
      <c r="Z4" s="92">
        <v>297</v>
      </c>
      <c r="AA4" s="92">
        <v>6997</v>
      </c>
      <c r="AB4" s="92">
        <v>1083</v>
      </c>
      <c r="AC4" s="92">
        <v>181</v>
      </c>
      <c r="AD4" s="92">
        <v>407</v>
      </c>
      <c r="AE4" s="92">
        <v>11393</v>
      </c>
      <c r="AF4" s="92">
        <v>20</v>
      </c>
      <c r="AG4" s="64">
        <f t="shared" ref="AG4:AG16" si="0">SUM(B4:AF4)</f>
        <v>34859.589999999997</v>
      </c>
    </row>
    <row r="5" spans="1:33" x14ac:dyDescent="0.25">
      <c r="A5" s="2" t="s">
        <v>78</v>
      </c>
      <c r="B5" s="92"/>
      <c r="C5" s="92"/>
      <c r="D5" s="46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64">
        <f t="shared" si="0"/>
        <v>0</v>
      </c>
    </row>
    <row r="6" spans="1:33" x14ac:dyDescent="0.25">
      <c r="A6" s="2" t="s">
        <v>79</v>
      </c>
      <c r="B6" s="92"/>
      <c r="C6" s="92"/>
      <c r="D6" s="46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64">
        <f t="shared" si="0"/>
        <v>0</v>
      </c>
    </row>
    <row r="7" spans="1:33" ht="15" customHeight="1" x14ac:dyDescent="0.25">
      <c r="A7" s="2" t="s">
        <v>80</v>
      </c>
      <c r="B7" s="92"/>
      <c r="C7" s="92">
        <v>14</v>
      </c>
      <c r="D7" s="46">
        <v>373062</v>
      </c>
      <c r="E7" s="92">
        <v>11567</v>
      </c>
      <c r="F7" s="92">
        <v>99</v>
      </c>
      <c r="G7" s="92"/>
      <c r="H7" s="92">
        <v>154167</v>
      </c>
      <c r="I7" s="92"/>
      <c r="J7" s="92"/>
      <c r="K7" s="92"/>
      <c r="L7" s="92">
        <v>468</v>
      </c>
      <c r="M7" s="92">
        <v>1844</v>
      </c>
      <c r="N7" s="92"/>
      <c r="O7" s="92"/>
      <c r="P7" s="92">
        <v>100</v>
      </c>
      <c r="Q7" s="92"/>
      <c r="R7" s="92">
        <v>6523</v>
      </c>
      <c r="S7" s="92">
        <v>1405</v>
      </c>
      <c r="T7" s="92">
        <v>15211.66</v>
      </c>
      <c r="U7" s="92">
        <v>10</v>
      </c>
      <c r="V7" s="92"/>
      <c r="W7" s="92">
        <v>541</v>
      </c>
      <c r="X7" s="92"/>
      <c r="Y7" s="92"/>
      <c r="Z7" s="92"/>
      <c r="AA7" s="92">
        <v>18058</v>
      </c>
      <c r="AB7" s="92">
        <v>11</v>
      </c>
      <c r="AC7" s="92">
        <v>40698</v>
      </c>
      <c r="AD7" s="92">
        <v>97788</v>
      </c>
      <c r="AE7" s="92">
        <v>96212</v>
      </c>
      <c r="AF7" s="92"/>
      <c r="AG7" s="64">
        <f t="shared" si="0"/>
        <v>817778.66</v>
      </c>
    </row>
    <row r="8" spans="1:33" x14ac:dyDescent="0.25">
      <c r="A8" s="2" t="s">
        <v>81</v>
      </c>
      <c r="B8" s="92"/>
      <c r="C8" s="92">
        <v>32</v>
      </c>
      <c r="D8" s="46"/>
      <c r="E8" s="92"/>
      <c r="F8" s="92">
        <v>25</v>
      </c>
      <c r="G8" s="92"/>
      <c r="H8" s="92">
        <v>13578</v>
      </c>
      <c r="I8" s="92"/>
      <c r="J8" s="92">
        <v>28.79</v>
      </c>
      <c r="K8" s="92"/>
      <c r="L8" s="92">
        <v>246</v>
      </c>
      <c r="M8" s="92"/>
      <c r="N8" s="92"/>
      <c r="O8" s="92"/>
      <c r="P8" s="92"/>
      <c r="Q8" s="92"/>
      <c r="R8" s="92">
        <v>25</v>
      </c>
      <c r="S8" s="92"/>
      <c r="T8" s="92"/>
      <c r="U8" s="92"/>
      <c r="V8" s="92"/>
      <c r="W8" s="92"/>
      <c r="X8" s="92"/>
      <c r="Y8" s="92">
        <v>30</v>
      </c>
      <c r="Z8" s="92"/>
      <c r="AA8" s="92"/>
      <c r="AB8" s="92">
        <v>232</v>
      </c>
      <c r="AC8" s="92">
        <v>656180</v>
      </c>
      <c r="AD8" s="92"/>
      <c r="AE8" s="92"/>
      <c r="AF8" s="92"/>
      <c r="AG8" s="64">
        <f t="shared" si="0"/>
        <v>670376.79</v>
      </c>
    </row>
    <row r="9" spans="1:33" x14ac:dyDescent="0.25">
      <c r="A9" s="2" t="s">
        <v>82</v>
      </c>
      <c r="B9" s="92">
        <v>508</v>
      </c>
      <c r="C9" s="92">
        <v>1381</v>
      </c>
      <c r="D9" s="46">
        <v>24762</v>
      </c>
      <c r="E9" s="92">
        <v>18696</v>
      </c>
      <c r="F9" s="92">
        <v>16537</v>
      </c>
      <c r="G9" s="92">
        <v>1913</v>
      </c>
      <c r="H9" s="92">
        <v>35.17</v>
      </c>
      <c r="I9" s="92">
        <v>183</v>
      </c>
      <c r="J9" s="92">
        <v>3168.78</v>
      </c>
      <c r="K9" s="92">
        <v>14677</v>
      </c>
      <c r="L9" s="92">
        <v>11323</v>
      </c>
      <c r="M9" s="92">
        <v>8871</v>
      </c>
      <c r="N9" s="92">
        <v>15998</v>
      </c>
      <c r="O9" s="92">
        <v>928</v>
      </c>
      <c r="P9" s="92">
        <v>-64</v>
      </c>
      <c r="Q9" s="92">
        <v>4088.53</v>
      </c>
      <c r="R9" s="92">
        <v>301.44</v>
      </c>
      <c r="S9" s="92">
        <v>2429</v>
      </c>
      <c r="T9" s="92">
        <v>45560.53</v>
      </c>
      <c r="U9" s="92">
        <v>770</v>
      </c>
      <c r="V9" s="92">
        <v>149</v>
      </c>
      <c r="W9" s="92">
        <v>16401</v>
      </c>
      <c r="X9" s="92">
        <v>4882</v>
      </c>
      <c r="Y9" s="92">
        <v>7812</v>
      </c>
      <c r="Z9" s="92">
        <v>2856</v>
      </c>
      <c r="AA9" s="92">
        <v>38125</v>
      </c>
      <c r="AB9" s="92">
        <v>39991</v>
      </c>
      <c r="AC9" s="92">
        <v>105590</v>
      </c>
      <c r="AD9" s="92">
        <v>81420</v>
      </c>
      <c r="AE9" s="92">
        <v>32552</v>
      </c>
      <c r="AF9" s="92">
        <v>6572</v>
      </c>
      <c r="AG9" s="64">
        <f t="shared" si="0"/>
        <v>508416.45</v>
      </c>
    </row>
    <row r="10" spans="1:33" x14ac:dyDescent="0.25">
      <c r="A10" s="2" t="s">
        <v>83</v>
      </c>
      <c r="B10" s="92"/>
      <c r="C10" s="92"/>
      <c r="D10" s="46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>
        <v>3225</v>
      </c>
      <c r="X10" s="92"/>
      <c r="Y10" s="92"/>
      <c r="Z10" s="92"/>
      <c r="AA10" s="92"/>
      <c r="AB10" s="92"/>
      <c r="AC10" s="92"/>
      <c r="AD10" s="92"/>
      <c r="AE10" s="92"/>
      <c r="AF10" s="92"/>
      <c r="AG10" s="64">
        <f t="shared" si="0"/>
        <v>3225</v>
      </c>
    </row>
    <row r="11" spans="1:33" x14ac:dyDescent="0.25">
      <c r="A11" s="2" t="s">
        <v>84</v>
      </c>
      <c r="B11" s="92"/>
      <c r="C11" s="92"/>
      <c r="D11" s="46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64">
        <f t="shared" si="0"/>
        <v>0</v>
      </c>
    </row>
    <row r="12" spans="1:33" x14ac:dyDescent="0.25">
      <c r="A12" s="2" t="s">
        <v>85</v>
      </c>
      <c r="B12" s="92"/>
      <c r="C12" s="92"/>
      <c r="D12" s="46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64">
        <f t="shared" si="0"/>
        <v>0</v>
      </c>
    </row>
    <row r="13" spans="1:33" x14ac:dyDescent="0.25">
      <c r="A13" s="2" t="s">
        <v>86</v>
      </c>
      <c r="B13" s="92"/>
      <c r="C13" s="92"/>
      <c r="D13" s="46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64">
        <f t="shared" si="0"/>
        <v>0</v>
      </c>
    </row>
    <row r="14" spans="1:33" x14ac:dyDescent="0.25">
      <c r="A14" s="2" t="s">
        <v>87</v>
      </c>
      <c r="B14" s="92"/>
      <c r="C14" s="92"/>
      <c r="D14" s="46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>
        <v>171007</v>
      </c>
      <c r="AD14" s="92"/>
      <c r="AE14" s="92">
        <v>39986</v>
      </c>
      <c r="AF14" s="92"/>
      <c r="AG14" s="64">
        <f t="shared" si="0"/>
        <v>210993</v>
      </c>
    </row>
    <row r="15" spans="1:33" x14ac:dyDescent="0.25">
      <c r="A15" s="2" t="s">
        <v>31</v>
      </c>
      <c r="B15" s="92">
        <f>B16-B14-B13-B12-B11-B10-B9-B8-B7-B6-B5-B4</f>
        <v>276</v>
      </c>
      <c r="C15" s="92">
        <f t="shared" ref="C15:AB15" si="1">C16-C14-C13-C12-C11-C10-C9-C8-C7-C6-C5-C4</f>
        <v>0</v>
      </c>
      <c r="D15" s="46">
        <f t="shared" si="1"/>
        <v>0.18000000000000005</v>
      </c>
      <c r="E15" s="92">
        <f t="shared" si="1"/>
        <v>-1</v>
      </c>
      <c r="F15" s="92">
        <f t="shared" si="1"/>
        <v>0</v>
      </c>
      <c r="G15" s="92">
        <f t="shared" si="1"/>
        <v>18</v>
      </c>
      <c r="H15" s="92">
        <f t="shared" si="1"/>
        <v>0.99999999997904521</v>
      </c>
      <c r="I15" s="92">
        <f t="shared" si="1"/>
        <v>0</v>
      </c>
      <c r="J15" s="92">
        <f t="shared" si="1"/>
        <v>-3.1263880373444408E-13</v>
      </c>
      <c r="K15" s="92">
        <f>K16-K14-K13-K12-K11-K10-K9-K8-K7-K6-K5-K4</f>
        <v>0</v>
      </c>
      <c r="L15" s="92">
        <f t="shared" si="1"/>
        <v>0</v>
      </c>
      <c r="M15" s="92">
        <f t="shared" si="1"/>
        <v>0</v>
      </c>
      <c r="N15" s="92">
        <f t="shared" si="1"/>
        <v>0</v>
      </c>
      <c r="O15" s="92">
        <f t="shared" si="1"/>
        <v>0</v>
      </c>
      <c r="P15" s="92">
        <f t="shared" si="1"/>
        <v>0</v>
      </c>
      <c r="Q15" s="92">
        <f t="shared" si="1"/>
        <v>0</v>
      </c>
      <c r="R15" s="92">
        <f t="shared" si="1"/>
        <v>8.0291329140891321E-13</v>
      </c>
      <c r="S15" s="92">
        <f t="shared" si="1"/>
        <v>1</v>
      </c>
      <c r="T15" s="92">
        <f t="shared" si="1"/>
        <v>-1.9326762412674725E-12</v>
      </c>
      <c r="U15" s="92">
        <f t="shared" si="1"/>
        <v>1</v>
      </c>
      <c r="V15" s="92">
        <f t="shared" si="1"/>
        <v>0</v>
      </c>
      <c r="W15" s="92">
        <f t="shared" si="1"/>
        <v>-1</v>
      </c>
      <c r="X15" s="92">
        <f t="shared" si="1"/>
        <v>0</v>
      </c>
      <c r="Y15" s="92">
        <f t="shared" si="1"/>
        <v>0</v>
      </c>
      <c r="Z15" s="92">
        <f t="shared" si="1"/>
        <v>625</v>
      </c>
      <c r="AA15" s="92">
        <f t="shared" si="1"/>
        <v>-1</v>
      </c>
      <c r="AB15" s="92">
        <f t="shared" si="1"/>
        <v>0</v>
      </c>
      <c r="AC15" s="92">
        <f t="shared" ref="AC15:AF15" si="2">AC16-AC14-AC13-AC12-AC11-AC10-AC9-AC8-AC7-AC6-AC5-AC4</f>
        <v>0</v>
      </c>
      <c r="AD15" s="92">
        <f t="shared" si="2"/>
        <v>0</v>
      </c>
      <c r="AE15" s="92">
        <f t="shared" si="2"/>
        <v>1</v>
      </c>
      <c r="AF15" s="92">
        <f t="shared" si="2"/>
        <v>0</v>
      </c>
      <c r="AG15" s="64">
        <f t="shared" si="0"/>
        <v>920.17999999997755</v>
      </c>
    </row>
    <row r="16" spans="1:33" s="7" customFormat="1" x14ac:dyDescent="0.25">
      <c r="A16" s="3" t="s">
        <v>40</v>
      </c>
      <c r="B16" s="10">
        <v>797</v>
      </c>
      <c r="C16" s="10">
        <v>2228</v>
      </c>
      <c r="D16" s="48">
        <v>397825</v>
      </c>
      <c r="E16" s="10">
        <v>33560</v>
      </c>
      <c r="F16" s="10">
        <v>17224</v>
      </c>
      <c r="G16" s="10">
        <v>2507</v>
      </c>
      <c r="H16" s="10">
        <v>167783.71</v>
      </c>
      <c r="I16" s="10">
        <v>208</v>
      </c>
      <c r="J16" s="10">
        <v>3343.87</v>
      </c>
      <c r="K16" s="10">
        <v>16962</v>
      </c>
      <c r="L16" s="10">
        <v>15053</v>
      </c>
      <c r="M16" s="10">
        <v>11631</v>
      </c>
      <c r="N16" s="10">
        <v>16129</v>
      </c>
      <c r="O16" s="10">
        <v>1039</v>
      </c>
      <c r="P16" s="10">
        <v>155</v>
      </c>
      <c r="Q16" s="10">
        <v>4122.51</v>
      </c>
      <c r="R16" s="10">
        <v>6894.06</v>
      </c>
      <c r="S16" s="10">
        <v>3938</v>
      </c>
      <c r="T16" s="10">
        <v>61661.52</v>
      </c>
      <c r="U16" s="10">
        <v>804</v>
      </c>
      <c r="V16" s="10">
        <v>150</v>
      </c>
      <c r="W16" s="10">
        <v>20258</v>
      </c>
      <c r="X16" s="10">
        <v>5568</v>
      </c>
      <c r="Y16" s="10">
        <v>8447</v>
      </c>
      <c r="Z16" s="10">
        <v>3778</v>
      </c>
      <c r="AA16" s="10">
        <v>63179</v>
      </c>
      <c r="AB16" s="10">
        <v>41317</v>
      </c>
      <c r="AC16" s="10">
        <v>973656</v>
      </c>
      <c r="AD16" s="10">
        <v>179615</v>
      </c>
      <c r="AE16" s="10">
        <v>180144</v>
      </c>
      <c r="AF16" s="10">
        <v>6592</v>
      </c>
      <c r="AG16" s="63">
        <f t="shared" si="0"/>
        <v>2246569.67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1" customWidth="1"/>
    <col min="2" max="5" width="16" style="71" customWidth="1"/>
    <col min="6" max="6" width="18.140625" style="71" customWidth="1"/>
    <col min="7" max="20" width="16" style="71" customWidth="1"/>
    <col min="21" max="21" width="16" style="133" customWidth="1"/>
    <col min="2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313</v>
      </c>
    </row>
    <row r="2" spans="1:33" x14ac:dyDescent="0.25">
      <c r="A2" s="13" t="s">
        <v>98</v>
      </c>
    </row>
    <row r="3" spans="1:33" s="95" customFormat="1" ht="15" customHeight="1" x14ac:dyDescent="0.25">
      <c r="A3" s="93" t="s">
        <v>0</v>
      </c>
      <c r="B3" s="104" t="s">
        <v>1</v>
      </c>
      <c r="C3" s="104" t="s">
        <v>234</v>
      </c>
      <c r="D3" s="104" t="s">
        <v>2</v>
      </c>
      <c r="E3" s="104" t="s">
        <v>3</v>
      </c>
      <c r="F3" s="104" t="s">
        <v>243</v>
      </c>
      <c r="G3" s="104" t="s">
        <v>235</v>
      </c>
      <c r="H3" s="104" t="s">
        <v>5</v>
      </c>
      <c r="I3" s="104" t="s">
        <v>4</v>
      </c>
      <c r="J3" s="104" t="s">
        <v>6</v>
      </c>
      <c r="K3" s="104" t="s">
        <v>246</v>
      </c>
      <c r="L3" s="104" t="s">
        <v>7</v>
      </c>
      <c r="M3" s="104" t="s">
        <v>8</v>
      </c>
      <c r="N3" s="104" t="s">
        <v>9</v>
      </c>
      <c r="O3" s="104" t="s">
        <v>242</v>
      </c>
      <c r="P3" s="127" t="s">
        <v>10</v>
      </c>
      <c r="Q3" s="127" t="s">
        <v>11</v>
      </c>
      <c r="R3" s="127" t="s">
        <v>236</v>
      </c>
      <c r="S3" s="127" t="s">
        <v>245</v>
      </c>
      <c r="T3" s="127" t="s">
        <v>12</v>
      </c>
      <c r="U3" s="134" t="s">
        <v>237</v>
      </c>
      <c r="V3" s="104" t="s">
        <v>238</v>
      </c>
      <c r="W3" s="104" t="s">
        <v>241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239</v>
      </c>
      <c r="AD3" s="103" t="s">
        <v>240</v>
      </c>
      <c r="AE3" s="103" t="s">
        <v>18</v>
      </c>
      <c r="AF3" s="104" t="s">
        <v>19</v>
      </c>
      <c r="AG3" s="94" t="s">
        <v>20</v>
      </c>
    </row>
    <row r="4" spans="1:33" s="95" customFormat="1" ht="15" customHeight="1" x14ac:dyDescent="0.25">
      <c r="A4" s="96" t="s">
        <v>88</v>
      </c>
      <c r="B4" s="97">
        <v>501</v>
      </c>
      <c r="C4" s="97">
        <v>2750</v>
      </c>
      <c r="D4" s="97">
        <v>771356</v>
      </c>
      <c r="E4" s="92">
        <v>14568</v>
      </c>
      <c r="F4" s="97">
        <v>3711</v>
      </c>
      <c r="G4" s="97">
        <v>3992</v>
      </c>
      <c r="H4" s="97"/>
      <c r="I4" s="97">
        <v>191</v>
      </c>
      <c r="J4" s="97">
        <v>2057.61</v>
      </c>
      <c r="K4" s="92">
        <v>3754</v>
      </c>
      <c r="L4" s="97">
        <v>5149</v>
      </c>
      <c r="M4" s="92">
        <v>2642</v>
      </c>
      <c r="N4" s="97">
        <v>7209</v>
      </c>
      <c r="O4" s="97">
        <v>537</v>
      </c>
      <c r="P4" s="128">
        <v>2450</v>
      </c>
      <c r="Q4" s="128">
        <v>246.74</v>
      </c>
      <c r="R4" s="128">
        <v>737.85</v>
      </c>
      <c r="S4" s="129">
        <v>1929</v>
      </c>
      <c r="T4" s="128">
        <v>12548.12</v>
      </c>
      <c r="U4" s="135">
        <v>986</v>
      </c>
      <c r="V4" s="97">
        <v>377</v>
      </c>
      <c r="W4" s="97">
        <v>3241</v>
      </c>
      <c r="X4" s="92">
        <v>3161</v>
      </c>
      <c r="Y4" s="92">
        <v>7654</v>
      </c>
      <c r="Z4" s="97">
        <v>1229</v>
      </c>
      <c r="AA4" s="97">
        <v>4470</v>
      </c>
      <c r="AB4" s="97">
        <v>9311</v>
      </c>
      <c r="AC4" s="97">
        <v>22301</v>
      </c>
      <c r="AD4" s="92">
        <v>12351</v>
      </c>
      <c r="AE4" s="92">
        <v>10731</v>
      </c>
      <c r="AF4" s="97">
        <v>2750</v>
      </c>
      <c r="AG4" s="98">
        <f t="shared" ref="AG4:AG15" si="0">SUM(B4:AF4)</f>
        <v>914891.32</v>
      </c>
    </row>
    <row r="5" spans="1:33" s="95" customFormat="1" ht="15" customHeight="1" x14ac:dyDescent="0.25">
      <c r="A5" s="96" t="s">
        <v>89</v>
      </c>
      <c r="B5" s="97">
        <v>11482</v>
      </c>
      <c r="C5" s="97">
        <v>9363</v>
      </c>
      <c r="D5" s="97"/>
      <c r="E5" s="92">
        <v>132019</v>
      </c>
      <c r="F5" s="97">
        <v>282</v>
      </c>
      <c r="G5" s="97">
        <v>18155</v>
      </c>
      <c r="H5" s="92">
        <v>8616.56</v>
      </c>
      <c r="I5" s="97">
        <v>4903</v>
      </c>
      <c r="J5" s="97">
        <v>44746.83</v>
      </c>
      <c r="K5" s="92">
        <v>20564</v>
      </c>
      <c r="L5" s="92">
        <v>304164</v>
      </c>
      <c r="M5" s="92">
        <v>173169</v>
      </c>
      <c r="N5" s="97">
        <v>104350</v>
      </c>
      <c r="O5" s="97">
        <v>2169</v>
      </c>
      <c r="P5" s="128">
        <v>1184</v>
      </c>
      <c r="Q5" s="128">
        <v>5003.58</v>
      </c>
      <c r="R5" s="128">
        <v>185.08</v>
      </c>
      <c r="S5" s="129">
        <v>15019</v>
      </c>
      <c r="T5" s="128">
        <v>136022.04</v>
      </c>
      <c r="U5" s="135">
        <v>144</v>
      </c>
      <c r="V5" s="97">
        <v>1013</v>
      </c>
      <c r="W5" s="97">
        <v>122019</v>
      </c>
      <c r="X5" s="92">
        <v>38863</v>
      </c>
      <c r="Y5" s="92">
        <v>116691</v>
      </c>
      <c r="Z5" s="97">
        <v>1687</v>
      </c>
      <c r="AA5" s="97">
        <v>134</v>
      </c>
      <c r="AB5" s="97">
        <v>130556</v>
      </c>
      <c r="AC5" s="97">
        <v>157953</v>
      </c>
      <c r="AD5" s="92">
        <v>48373</v>
      </c>
      <c r="AE5" s="92">
        <v>115789</v>
      </c>
      <c r="AF5" s="97">
        <v>96208</v>
      </c>
      <c r="AG5" s="98">
        <f t="shared" si="0"/>
        <v>1820827.0899999999</v>
      </c>
    </row>
    <row r="6" spans="1:33" s="95" customFormat="1" ht="15" customHeight="1" x14ac:dyDescent="0.25">
      <c r="A6" s="96" t="s">
        <v>90</v>
      </c>
      <c r="B6" s="97"/>
      <c r="C6" s="97"/>
      <c r="D6" s="97"/>
      <c r="E6" s="92">
        <v>7434</v>
      </c>
      <c r="F6" s="97"/>
      <c r="G6" s="97">
        <v>24132</v>
      </c>
      <c r="H6" s="97"/>
      <c r="I6" s="97"/>
      <c r="J6" s="97"/>
      <c r="K6" s="97"/>
      <c r="L6" s="97"/>
      <c r="M6" s="92">
        <v>3444</v>
      </c>
      <c r="N6" s="97"/>
      <c r="O6" s="97">
        <v>2290</v>
      </c>
      <c r="P6" s="128"/>
      <c r="Q6" s="128">
        <v>12245.44</v>
      </c>
      <c r="R6" s="128"/>
      <c r="S6" s="129"/>
      <c r="T6" s="128">
        <v>126917.16</v>
      </c>
      <c r="U6" s="135"/>
      <c r="V6" s="97"/>
      <c r="W6" s="97">
        <f>67227+12363</f>
        <v>79590</v>
      </c>
      <c r="X6" s="97"/>
      <c r="Y6" s="97"/>
      <c r="Z6" s="97"/>
      <c r="AA6" s="97"/>
      <c r="AB6" s="97"/>
      <c r="AC6" s="97">
        <v>7028</v>
      </c>
      <c r="AD6" s="92">
        <v>8969</v>
      </c>
      <c r="AE6" s="97"/>
      <c r="AF6" s="97"/>
      <c r="AG6" s="98">
        <f t="shared" si="0"/>
        <v>272049.59999999998</v>
      </c>
    </row>
    <row r="7" spans="1:33" s="95" customFormat="1" ht="15" customHeight="1" x14ac:dyDescent="0.25">
      <c r="A7" s="96" t="s">
        <v>91</v>
      </c>
      <c r="B7" s="97">
        <f>3875+119</f>
        <v>3994</v>
      </c>
      <c r="C7" s="97">
        <f>156+2291</f>
        <v>2447</v>
      </c>
      <c r="D7" s="97"/>
      <c r="E7" s="92">
        <v>121588</v>
      </c>
      <c r="F7" s="97">
        <f>2298+10847</f>
        <v>13145</v>
      </c>
      <c r="G7" s="97">
        <f>110894+3486</f>
        <v>114380</v>
      </c>
      <c r="H7" s="97">
        <f>3877.25+21626.86</f>
        <v>25504.11</v>
      </c>
      <c r="I7" s="97">
        <f>1641+184</f>
        <v>1825</v>
      </c>
      <c r="J7" s="97">
        <f>15575.32+4257.36</f>
        <v>19832.68</v>
      </c>
      <c r="K7" s="92">
        <v>3652</v>
      </c>
      <c r="L7" s="97">
        <f>85065+6814</f>
        <v>91879</v>
      </c>
      <c r="M7" s="97">
        <f>304689+48885</f>
        <v>353574</v>
      </c>
      <c r="N7" s="97">
        <v>75700</v>
      </c>
      <c r="O7" s="97">
        <v>4524</v>
      </c>
      <c r="P7" s="128">
        <f>243+42606</f>
        <v>42849</v>
      </c>
      <c r="Q7" s="128">
        <f>39095.69+3468.62</f>
        <v>42564.310000000005</v>
      </c>
      <c r="R7" s="128">
        <f>93.18+623.51</f>
        <v>716.69</v>
      </c>
      <c r="S7" s="129">
        <f>900+1792</f>
        <v>2692</v>
      </c>
      <c r="T7" s="128">
        <f>89689.83+1121.94</f>
        <v>90811.77</v>
      </c>
      <c r="U7" s="135">
        <v>1425</v>
      </c>
      <c r="V7" s="97">
        <f>2753+165</f>
        <v>2918</v>
      </c>
      <c r="W7" s="97"/>
      <c r="X7" s="92">
        <v>12931</v>
      </c>
      <c r="Y7" s="97">
        <f>36442+3221</f>
        <v>39663</v>
      </c>
      <c r="Z7" s="97">
        <f>27097+1303</f>
        <v>28400</v>
      </c>
      <c r="AA7" s="97">
        <f>343+13476</f>
        <v>13819</v>
      </c>
      <c r="AB7" s="97">
        <v>160582</v>
      </c>
      <c r="AC7" s="97">
        <v>146310</v>
      </c>
      <c r="AD7" s="92">
        <v>46931</v>
      </c>
      <c r="AE7" s="92">
        <v>33201</v>
      </c>
      <c r="AF7" s="97">
        <v>14374</v>
      </c>
      <c r="AG7" s="98">
        <f t="shared" si="0"/>
        <v>1512232.56</v>
      </c>
    </row>
    <row r="8" spans="1:33" s="95" customFormat="1" ht="15" customHeight="1" x14ac:dyDescent="0.25">
      <c r="A8" s="96" t="s">
        <v>92</v>
      </c>
      <c r="B8" s="97"/>
      <c r="C8" s="97">
        <v>8272</v>
      </c>
      <c r="D8" s="97"/>
      <c r="E8" s="92">
        <v>43484</v>
      </c>
      <c r="F8" s="97">
        <v>6683</v>
      </c>
      <c r="G8" s="97">
        <v>6077</v>
      </c>
      <c r="H8" s="92">
        <v>5766.63</v>
      </c>
      <c r="I8" s="97">
        <v>785</v>
      </c>
      <c r="J8" s="97">
        <v>20296.259999999998</v>
      </c>
      <c r="K8" s="92">
        <v>104569</v>
      </c>
      <c r="L8" s="92">
        <v>56861</v>
      </c>
      <c r="M8" s="92">
        <v>76214</v>
      </c>
      <c r="N8" s="97">
        <v>5291</v>
      </c>
      <c r="O8" s="97">
        <v>1511</v>
      </c>
      <c r="P8" s="128">
        <v>4886</v>
      </c>
      <c r="Q8" s="128">
        <v>5511.35</v>
      </c>
      <c r="R8" s="128">
        <v>2728.16</v>
      </c>
      <c r="S8" s="129">
        <v>1856</v>
      </c>
      <c r="T8" s="128">
        <v>58645.14</v>
      </c>
      <c r="U8" s="135">
        <v>104</v>
      </c>
      <c r="V8" s="97">
        <v>260</v>
      </c>
      <c r="W8" s="97">
        <v>36781</v>
      </c>
      <c r="X8" s="92">
        <v>592</v>
      </c>
      <c r="Y8" s="92">
        <v>13989</v>
      </c>
      <c r="Z8" s="97">
        <v>769</v>
      </c>
      <c r="AA8" s="97">
        <v>1845</v>
      </c>
      <c r="AB8" s="97">
        <v>53219</v>
      </c>
      <c r="AC8" s="97">
        <v>123226</v>
      </c>
      <c r="AD8" s="97"/>
      <c r="AE8" s="97"/>
      <c r="AF8" s="97">
        <v>143</v>
      </c>
      <c r="AG8" s="98">
        <f t="shared" si="0"/>
        <v>640364.54</v>
      </c>
    </row>
    <row r="9" spans="1:33" s="95" customFormat="1" ht="15" customHeight="1" x14ac:dyDescent="0.25">
      <c r="A9" s="96" t="s">
        <v>93</v>
      </c>
      <c r="B9" s="97">
        <v>3752</v>
      </c>
      <c r="C9" s="97">
        <v>10640</v>
      </c>
      <c r="D9" s="97">
        <v>39976</v>
      </c>
      <c r="E9" s="92">
        <v>49330</v>
      </c>
      <c r="F9" s="97">
        <v>19329</v>
      </c>
      <c r="G9" s="97">
        <v>495</v>
      </c>
      <c r="H9" s="92">
        <v>2222.4499999999998</v>
      </c>
      <c r="I9" s="97">
        <v>2275</v>
      </c>
      <c r="J9" s="97">
        <v>22313.23</v>
      </c>
      <c r="K9" s="92">
        <v>15760</v>
      </c>
      <c r="L9" s="92">
        <v>67685</v>
      </c>
      <c r="M9" s="92">
        <v>108090</v>
      </c>
      <c r="N9" s="97">
        <v>11510</v>
      </c>
      <c r="O9" s="97">
        <v>11</v>
      </c>
      <c r="P9" s="128">
        <v>11057</v>
      </c>
      <c r="Q9" s="128">
        <v>9367.8700000000008</v>
      </c>
      <c r="R9" s="128">
        <v>192.96</v>
      </c>
      <c r="S9" s="129">
        <v>20841</v>
      </c>
      <c r="T9" s="128">
        <v>203205.46</v>
      </c>
      <c r="U9" s="135">
        <v>12711</v>
      </c>
      <c r="V9" s="97">
        <v>2173</v>
      </c>
      <c r="W9" s="97">
        <v>60482</v>
      </c>
      <c r="X9" s="92">
        <v>16052</v>
      </c>
      <c r="Y9" s="92">
        <v>5774</v>
      </c>
      <c r="Z9" s="97">
        <v>3567</v>
      </c>
      <c r="AA9" s="97">
        <v>27643</v>
      </c>
      <c r="AB9" s="97">
        <v>35103</v>
      </c>
      <c r="AC9" s="97">
        <v>188414</v>
      </c>
      <c r="AD9" s="92">
        <v>241944</v>
      </c>
      <c r="AE9" s="92">
        <v>249271</v>
      </c>
      <c r="AF9" s="97">
        <v>10229</v>
      </c>
      <c r="AG9" s="98">
        <f t="shared" si="0"/>
        <v>1451415.97</v>
      </c>
    </row>
    <row r="10" spans="1:33" s="95" customFormat="1" ht="15" customHeight="1" x14ac:dyDescent="0.25">
      <c r="A10" s="96" t="s">
        <v>94</v>
      </c>
      <c r="B10" s="97">
        <v>171</v>
      </c>
      <c r="C10" s="97">
        <v>329</v>
      </c>
      <c r="D10" s="97"/>
      <c r="E10" s="97"/>
      <c r="F10" s="97">
        <v>4</v>
      </c>
      <c r="G10" s="97"/>
      <c r="H10" s="97"/>
      <c r="I10" s="97">
        <v>40</v>
      </c>
      <c r="J10" s="97"/>
      <c r="K10" s="97"/>
      <c r="L10" s="97"/>
      <c r="M10" s="97"/>
      <c r="N10" s="97">
        <v>20</v>
      </c>
      <c r="O10" s="97">
        <v>251</v>
      </c>
      <c r="P10" s="128"/>
      <c r="Q10" s="128"/>
      <c r="R10" s="128"/>
      <c r="S10" s="128"/>
      <c r="T10" s="128"/>
      <c r="U10" s="135">
        <v>389</v>
      </c>
      <c r="V10" s="97"/>
      <c r="W10" s="97"/>
      <c r="X10" s="97"/>
      <c r="Y10" s="92">
        <v>2097</v>
      </c>
      <c r="Z10" s="97"/>
      <c r="AA10" s="97"/>
      <c r="AB10" s="97"/>
      <c r="AC10" s="97"/>
      <c r="AD10" s="97"/>
      <c r="AE10" s="97"/>
      <c r="AF10" s="97"/>
      <c r="AG10" s="98">
        <f t="shared" si="0"/>
        <v>3301</v>
      </c>
    </row>
    <row r="11" spans="1:33" s="95" customFormat="1" ht="15" customHeight="1" x14ac:dyDescent="0.25">
      <c r="A11" s="96" t="s">
        <v>95</v>
      </c>
      <c r="B11" s="97">
        <v>19698</v>
      </c>
      <c r="C11" s="97">
        <v>14325</v>
      </c>
      <c r="D11" s="97">
        <v>1053936</v>
      </c>
      <c r="E11" s="92">
        <v>1098567</v>
      </c>
      <c r="F11" s="97">
        <v>47861</v>
      </c>
      <c r="G11" s="97">
        <v>689698</v>
      </c>
      <c r="H11" s="92">
        <v>733488.04</v>
      </c>
      <c r="I11" s="97">
        <v>19349</v>
      </c>
      <c r="J11" s="97">
        <v>280894.64</v>
      </c>
      <c r="K11" s="92">
        <v>346058</v>
      </c>
      <c r="L11" s="92">
        <v>691653</v>
      </c>
      <c r="M11" s="92">
        <v>2499200</v>
      </c>
      <c r="N11" s="97">
        <v>707816</v>
      </c>
      <c r="O11" s="97">
        <v>44880</v>
      </c>
      <c r="P11" s="128">
        <v>126562</v>
      </c>
      <c r="Q11" s="128">
        <v>192730.15</v>
      </c>
      <c r="R11" s="128">
        <v>10495.15</v>
      </c>
      <c r="S11" s="129">
        <v>24418</v>
      </c>
      <c r="T11" s="128">
        <v>2047064.91</v>
      </c>
      <c r="U11" s="135">
        <v>11880</v>
      </c>
      <c r="V11" s="97">
        <v>38312</v>
      </c>
      <c r="W11" s="97">
        <v>866261</v>
      </c>
      <c r="X11" s="92">
        <v>445542</v>
      </c>
      <c r="Y11" s="92">
        <v>410041</v>
      </c>
      <c r="Z11" s="97">
        <v>764058</v>
      </c>
      <c r="AA11" s="97">
        <v>101149</v>
      </c>
      <c r="AB11" s="97">
        <v>844926</v>
      </c>
      <c r="AC11" s="97">
        <v>3163254</v>
      </c>
      <c r="AD11" s="92">
        <v>1679449</v>
      </c>
      <c r="AE11" s="92">
        <v>2410108</v>
      </c>
      <c r="AF11" s="97">
        <v>172926</v>
      </c>
      <c r="AG11" s="98">
        <f t="shared" si="0"/>
        <v>21556599.890000001</v>
      </c>
    </row>
    <row r="12" spans="1:33" s="95" customFormat="1" ht="15" customHeight="1" x14ac:dyDescent="0.25">
      <c r="A12" s="96" t="s">
        <v>96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128"/>
      <c r="Q12" s="128"/>
      <c r="R12" s="128"/>
      <c r="S12" s="128"/>
      <c r="T12" s="128"/>
      <c r="U12" s="135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>
        <f t="shared" si="0"/>
        <v>0</v>
      </c>
    </row>
    <row r="13" spans="1:33" s="95" customFormat="1" ht="15" customHeight="1" x14ac:dyDescent="0.25">
      <c r="A13" s="96" t="s">
        <v>97</v>
      </c>
      <c r="B13" s="97"/>
      <c r="C13" s="97">
        <f>25</f>
        <v>25</v>
      </c>
      <c r="D13" s="97">
        <f>7212</f>
        <v>7212</v>
      </c>
      <c r="E13" s="97">
        <f>609+4</f>
        <v>613</v>
      </c>
      <c r="F13" s="97">
        <f>281+31</f>
        <v>312</v>
      </c>
      <c r="G13" s="97">
        <f>122+324</f>
        <v>446</v>
      </c>
      <c r="H13" s="92">
        <f>156.13+39.13</f>
        <v>195.26</v>
      </c>
      <c r="I13" s="97">
        <v>7</v>
      </c>
      <c r="J13" s="97">
        <f>1461.24+246.05</f>
        <v>1707.29</v>
      </c>
      <c r="K13" s="92">
        <v>213</v>
      </c>
      <c r="L13" s="97">
        <f>2636+486</f>
        <v>3122</v>
      </c>
      <c r="M13" s="97">
        <f>40288+6285</f>
        <v>46573</v>
      </c>
      <c r="N13" s="97">
        <f>1889+508</f>
        <v>2397</v>
      </c>
      <c r="O13" s="97">
        <v>13</v>
      </c>
      <c r="P13" s="128">
        <v>771</v>
      </c>
      <c r="Q13" s="128">
        <f>19.09+317.03</f>
        <v>336.11999999999995</v>
      </c>
      <c r="R13" s="128">
        <f>103.42+21.01</f>
        <v>124.43</v>
      </c>
      <c r="S13" s="129">
        <f>130+53</f>
        <v>183</v>
      </c>
      <c r="T13" s="128">
        <f>11197.91+2617.33</f>
        <v>13815.24</v>
      </c>
      <c r="U13" s="135">
        <v>5</v>
      </c>
      <c r="V13" s="97">
        <v>4</v>
      </c>
      <c r="W13" s="97">
        <f>7339+589</f>
        <v>7928</v>
      </c>
      <c r="X13" s="97">
        <f>707+139</f>
        <v>846</v>
      </c>
      <c r="Y13" s="97">
        <f>875+94</f>
        <v>969</v>
      </c>
      <c r="Z13" s="97">
        <f>1947+73</f>
        <v>2020</v>
      </c>
      <c r="AA13" s="97">
        <v>2029</v>
      </c>
      <c r="AB13" s="97">
        <f>2829+673</f>
        <v>3502</v>
      </c>
      <c r="AC13" s="97">
        <f>18500+4393</f>
        <v>22893</v>
      </c>
      <c r="AD13" s="97">
        <f>10058+546</f>
        <v>10604</v>
      </c>
      <c r="AE13" s="97">
        <v>8250</v>
      </c>
      <c r="AF13" s="97">
        <f>894+195</f>
        <v>1089</v>
      </c>
      <c r="AG13" s="98">
        <f t="shared" si="0"/>
        <v>138204.34000000003</v>
      </c>
    </row>
    <row r="14" spans="1:33" s="95" customFormat="1" ht="15" customHeight="1" x14ac:dyDescent="0.25">
      <c r="A14" s="96" t="s">
        <v>31</v>
      </c>
      <c r="B14" s="97">
        <f t="shared" ref="B14:AF14" si="1">B15-B13-B12-B11-B10-B9-B8-B7-B6-B5-B4</f>
        <v>3847</v>
      </c>
      <c r="C14" s="97">
        <f t="shared" si="1"/>
        <v>6386</v>
      </c>
      <c r="D14" s="97">
        <f t="shared" si="1"/>
        <v>799629</v>
      </c>
      <c r="E14" s="97">
        <f t="shared" si="1"/>
        <v>45464</v>
      </c>
      <c r="F14" s="97">
        <f t="shared" si="1"/>
        <v>7832</v>
      </c>
      <c r="G14" s="97">
        <f t="shared" si="1"/>
        <v>30764</v>
      </c>
      <c r="H14" s="97">
        <f t="shared" si="1"/>
        <v>5321.0699999999542</v>
      </c>
      <c r="I14" s="97">
        <f t="shared" si="1"/>
        <v>1624</v>
      </c>
      <c r="J14" s="97">
        <f t="shared" si="1"/>
        <v>4604.4999999999927</v>
      </c>
      <c r="K14" s="97">
        <f t="shared" si="1"/>
        <v>11024</v>
      </c>
      <c r="L14" s="97">
        <f t="shared" si="1"/>
        <v>8734</v>
      </c>
      <c r="M14" s="97">
        <f t="shared" si="1"/>
        <v>32335</v>
      </c>
      <c r="N14" s="97">
        <f t="shared" si="1"/>
        <v>19770</v>
      </c>
      <c r="O14" s="97">
        <f t="shared" si="1"/>
        <v>5069</v>
      </c>
      <c r="P14" s="97">
        <f t="shared" si="1"/>
        <v>4037</v>
      </c>
      <c r="Q14" s="97">
        <f t="shared" si="1"/>
        <v>10618.229999999983</v>
      </c>
      <c r="R14" s="97">
        <f t="shared" si="1"/>
        <v>9744.98</v>
      </c>
      <c r="S14" s="97">
        <f t="shared" si="1"/>
        <v>4941</v>
      </c>
      <c r="T14" s="97">
        <f t="shared" si="1"/>
        <v>41236.32</v>
      </c>
      <c r="U14" s="136">
        <f t="shared" si="1"/>
        <v>48</v>
      </c>
      <c r="V14" s="97">
        <f t="shared" si="1"/>
        <v>253</v>
      </c>
      <c r="W14" s="97">
        <f t="shared" si="1"/>
        <v>32892</v>
      </c>
      <c r="X14" s="97">
        <f t="shared" si="1"/>
        <v>3374</v>
      </c>
      <c r="Y14" s="97">
        <f t="shared" si="1"/>
        <v>12197</v>
      </c>
      <c r="Z14" s="97">
        <f t="shared" si="1"/>
        <v>11537</v>
      </c>
      <c r="AA14" s="97">
        <f t="shared" si="1"/>
        <v>39468</v>
      </c>
      <c r="AB14" s="97">
        <f t="shared" si="1"/>
        <v>14356</v>
      </c>
      <c r="AC14" s="97">
        <f t="shared" si="1"/>
        <v>69628</v>
      </c>
      <c r="AD14" s="97">
        <f t="shared" si="1"/>
        <v>29853</v>
      </c>
      <c r="AE14" s="97">
        <f t="shared" si="1"/>
        <v>14</v>
      </c>
      <c r="AF14" s="97">
        <f t="shared" si="1"/>
        <v>3393</v>
      </c>
      <c r="AG14" s="98">
        <f t="shared" si="0"/>
        <v>1269994.0999999999</v>
      </c>
    </row>
    <row r="15" spans="1:33" s="102" customFormat="1" ht="15" customHeight="1" x14ac:dyDescent="0.25">
      <c r="A15" s="99" t="s">
        <v>40</v>
      </c>
      <c r="B15" s="100">
        <v>43445</v>
      </c>
      <c r="C15" s="100">
        <v>54537</v>
      </c>
      <c r="D15" s="100">
        <v>2672109</v>
      </c>
      <c r="E15" s="10">
        <v>1513067</v>
      </c>
      <c r="F15" s="100">
        <v>99159</v>
      </c>
      <c r="G15" s="100">
        <v>888139</v>
      </c>
      <c r="H15" s="10">
        <v>781114.12</v>
      </c>
      <c r="I15" s="100">
        <v>30999</v>
      </c>
      <c r="J15" s="100">
        <v>396453.04</v>
      </c>
      <c r="K15" s="10">
        <v>505594</v>
      </c>
      <c r="L15" s="10">
        <v>1229247</v>
      </c>
      <c r="M15" s="10">
        <v>3295241</v>
      </c>
      <c r="N15" s="100">
        <v>934063</v>
      </c>
      <c r="O15" s="100">
        <v>61255</v>
      </c>
      <c r="P15" s="100">
        <v>193796</v>
      </c>
      <c r="Q15" s="100">
        <v>278623.78999999998</v>
      </c>
      <c r="R15" s="100">
        <v>24925.3</v>
      </c>
      <c r="S15" s="100">
        <v>71879</v>
      </c>
      <c r="T15" s="100">
        <v>2730266.16</v>
      </c>
      <c r="U15" s="137">
        <v>27692</v>
      </c>
      <c r="V15" s="100">
        <v>45310</v>
      </c>
      <c r="W15" s="100">
        <v>1209194</v>
      </c>
      <c r="X15" s="100">
        <v>521361</v>
      </c>
      <c r="Y15" s="100">
        <v>609075</v>
      </c>
      <c r="Z15" s="100">
        <v>813267</v>
      </c>
      <c r="AA15" s="100">
        <v>190557</v>
      </c>
      <c r="AB15" s="100">
        <v>1251555</v>
      </c>
      <c r="AC15" s="100">
        <v>3901007</v>
      </c>
      <c r="AD15" s="10">
        <v>2078474</v>
      </c>
      <c r="AE15" s="10">
        <v>2827364</v>
      </c>
      <c r="AF15" s="100">
        <v>301112</v>
      </c>
      <c r="AG15" s="101">
        <f t="shared" si="0"/>
        <v>29579880.41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3" width="16" style="71" customWidth="1"/>
    <col min="34" max="16384" width="9.140625" style="71"/>
  </cols>
  <sheetData>
    <row r="1" spans="1:33" ht="18.75" x14ac:dyDescent="0.3">
      <c r="A1" s="12" t="s">
        <v>327</v>
      </c>
    </row>
    <row r="2" spans="1:33" x14ac:dyDescent="0.25">
      <c r="A2" s="13" t="s">
        <v>98</v>
      </c>
    </row>
    <row r="3" spans="1:33" x14ac:dyDescent="0.25">
      <c r="A3" s="1" t="s">
        <v>0</v>
      </c>
      <c r="B3" s="126" t="s">
        <v>1</v>
      </c>
      <c r="C3" s="126" t="s">
        <v>234</v>
      </c>
      <c r="D3" s="126" t="s">
        <v>2</v>
      </c>
      <c r="E3" s="126" t="s">
        <v>3</v>
      </c>
      <c r="F3" s="126" t="s">
        <v>243</v>
      </c>
      <c r="G3" s="126" t="s">
        <v>235</v>
      </c>
      <c r="H3" s="126" t="s">
        <v>246</v>
      </c>
      <c r="I3" s="126" t="s">
        <v>5</v>
      </c>
      <c r="J3" s="126" t="s">
        <v>4</v>
      </c>
      <c r="K3" s="126" t="s">
        <v>6</v>
      </c>
      <c r="L3" s="138" t="s">
        <v>246</v>
      </c>
      <c r="M3" s="126" t="s">
        <v>7</v>
      </c>
      <c r="N3" s="126" t="s">
        <v>8</v>
      </c>
      <c r="O3" s="126" t="s">
        <v>9</v>
      </c>
      <c r="P3" s="126" t="s">
        <v>242</v>
      </c>
      <c r="Q3" s="126" t="s">
        <v>10</v>
      </c>
      <c r="R3" s="126" t="s">
        <v>11</v>
      </c>
      <c r="S3" s="126" t="s">
        <v>236</v>
      </c>
      <c r="T3" s="126" t="s">
        <v>245</v>
      </c>
      <c r="U3" s="126" t="s">
        <v>12</v>
      </c>
      <c r="V3" s="126" t="s">
        <v>237</v>
      </c>
      <c r="W3" s="126" t="s">
        <v>238</v>
      </c>
      <c r="X3" s="126" t="s">
        <v>241</v>
      </c>
      <c r="Y3" s="126" t="s">
        <v>13</v>
      </c>
      <c r="Z3" s="126" t="s">
        <v>14</v>
      </c>
      <c r="AA3" s="126" t="s">
        <v>15</v>
      </c>
      <c r="AB3" s="126" t="s">
        <v>16</v>
      </c>
      <c r="AC3" s="126" t="s">
        <v>17</v>
      </c>
      <c r="AD3" s="125" t="s">
        <v>239</v>
      </c>
      <c r="AE3" s="125" t="s">
        <v>240</v>
      </c>
      <c r="AF3" s="125" t="s">
        <v>18</v>
      </c>
      <c r="AG3" s="126" t="s">
        <v>19</v>
      </c>
    </row>
    <row r="4" spans="1:33" x14ac:dyDescent="0.25">
      <c r="A4" s="92" t="s">
        <v>273</v>
      </c>
      <c r="B4" s="92">
        <v>23256</v>
      </c>
      <c r="C4" s="92">
        <v>61338</v>
      </c>
      <c r="D4" s="92">
        <v>33904</v>
      </c>
      <c r="E4" s="92">
        <v>406514</v>
      </c>
      <c r="F4" s="92">
        <v>136554</v>
      </c>
      <c r="G4" s="92">
        <v>231539</v>
      </c>
      <c r="H4" s="92"/>
      <c r="I4" s="92">
        <v>44066.15</v>
      </c>
      <c r="J4" s="92">
        <v>13769</v>
      </c>
      <c r="K4" s="92">
        <v>127014.77</v>
      </c>
      <c r="L4" s="92">
        <v>201078</v>
      </c>
      <c r="M4" s="92">
        <v>410177</v>
      </c>
      <c r="N4" s="92">
        <v>734737</v>
      </c>
      <c r="O4" s="92">
        <v>276960</v>
      </c>
      <c r="P4" s="92">
        <v>38093</v>
      </c>
      <c r="Q4" s="92">
        <v>67997</v>
      </c>
      <c r="R4" s="92">
        <v>57793.08</v>
      </c>
      <c r="S4" s="146">
        <v>43461.18</v>
      </c>
      <c r="T4" s="92">
        <v>96859</v>
      </c>
      <c r="U4" s="92">
        <v>608910.53</v>
      </c>
      <c r="V4" s="92">
        <v>19303</v>
      </c>
      <c r="W4" s="92">
        <v>17036</v>
      </c>
      <c r="X4" s="92">
        <v>211418</v>
      </c>
      <c r="Y4" s="92">
        <v>115360</v>
      </c>
      <c r="Z4" s="92">
        <v>257196</v>
      </c>
      <c r="AA4" s="92">
        <v>89664</v>
      </c>
      <c r="AB4" s="92">
        <v>532026</v>
      </c>
      <c r="AC4" s="92">
        <v>385419</v>
      </c>
      <c r="AD4" s="92">
        <v>1275055</v>
      </c>
      <c r="AE4" s="30">
        <v>585153</v>
      </c>
      <c r="AF4" s="92">
        <v>687328</v>
      </c>
      <c r="AG4" s="92">
        <v>83043</v>
      </c>
    </row>
    <row r="5" spans="1:33" x14ac:dyDescent="0.25">
      <c r="A5" s="92" t="s">
        <v>274</v>
      </c>
      <c r="B5" s="92"/>
      <c r="C5" s="92"/>
      <c r="D5" s="92">
        <v>2100</v>
      </c>
      <c r="E5" s="92"/>
      <c r="F5" s="92"/>
      <c r="G5" s="92"/>
      <c r="H5" s="92"/>
      <c r="I5" s="92">
        <v>11002</v>
      </c>
      <c r="J5" s="92"/>
      <c r="K5" s="92"/>
      <c r="L5" s="92"/>
      <c r="M5" s="92"/>
      <c r="N5" s="92"/>
      <c r="O5" s="92"/>
      <c r="P5" s="92"/>
      <c r="Q5" s="92"/>
      <c r="R5" s="92">
        <v>17.82</v>
      </c>
      <c r="S5" s="92"/>
      <c r="T5" s="92"/>
      <c r="U5" s="92">
        <v>1365</v>
      </c>
      <c r="V5" s="92"/>
      <c r="W5" s="92"/>
      <c r="X5" s="92"/>
      <c r="Y5" s="92"/>
      <c r="Z5" s="92"/>
      <c r="AA5" s="92"/>
      <c r="AB5" s="92"/>
      <c r="AC5" s="92"/>
      <c r="AD5" s="92"/>
      <c r="AE5" s="30">
        <v>18184</v>
      </c>
      <c r="AF5" s="92"/>
      <c r="AG5" s="92"/>
    </row>
    <row r="6" spans="1:33" x14ac:dyDescent="0.25">
      <c r="A6" s="92" t="s">
        <v>317</v>
      </c>
      <c r="B6" s="92"/>
      <c r="C6" s="92"/>
      <c r="D6" s="92"/>
      <c r="E6" s="92">
        <v>1466</v>
      </c>
      <c r="F6" s="92"/>
      <c r="G6" s="92"/>
      <c r="H6" s="92"/>
      <c r="I6" s="92"/>
      <c r="J6" s="92"/>
      <c r="K6" s="92">
        <v>1472.74</v>
      </c>
      <c r="L6" s="92"/>
      <c r="M6" s="92">
        <v>93</v>
      </c>
      <c r="N6" s="92"/>
      <c r="O6" s="92"/>
      <c r="P6" s="92"/>
      <c r="Q6" s="92"/>
      <c r="R6" s="92">
        <v>0.01</v>
      </c>
      <c r="S6" s="92"/>
      <c r="T6" s="92"/>
      <c r="U6" s="92"/>
      <c r="V6" s="92"/>
      <c r="W6" s="92">
        <v>2009</v>
      </c>
      <c r="X6" s="92">
        <v>1696</v>
      </c>
      <c r="Y6" s="92"/>
      <c r="Z6" s="92"/>
      <c r="AA6" s="92"/>
      <c r="AB6" s="92"/>
      <c r="AC6" s="92">
        <v>5704</v>
      </c>
      <c r="AD6" s="92"/>
      <c r="AE6" s="92"/>
      <c r="AF6" s="92"/>
      <c r="AG6" s="92"/>
    </row>
    <row r="7" spans="1:33" x14ac:dyDescent="0.25">
      <c r="A7" s="92" t="s">
        <v>275</v>
      </c>
      <c r="B7" s="92">
        <v>1479</v>
      </c>
      <c r="C7" s="92"/>
      <c r="D7" s="92">
        <v>4707</v>
      </c>
      <c r="E7" s="92">
        <f>1924+1233</f>
        <v>3157</v>
      </c>
      <c r="F7" s="92">
        <v>934</v>
      </c>
      <c r="G7" s="92">
        <v>4180</v>
      </c>
      <c r="H7" s="92"/>
      <c r="I7" s="92">
        <f>5797.07+703.61+1152.37</f>
        <v>7653.0499999999993</v>
      </c>
      <c r="J7" s="92">
        <f>198+76+523</f>
        <v>797</v>
      </c>
      <c r="K7" s="92">
        <v>5504.45</v>
      </c>
      <c r="L7" s="92"/>
      <c r="M7" s="92">
        <v>909</v>
      </c>
      <c r="N7" s="92">
        <f>88+880+4937</f>
        <v>5905</v>
      </c>
      <c r="O7" s="92">
        <v>6238</v>
      </c>
      <c r="P7" s="92">
        <v>946</v>
      </c>
      <c r="Q7" s="92"/>
      <c r="R7" s="92">
        <v>1744.83</v>
      </c>
      <c r="S7" s="92"/>
      <c r="T7" s="92">
        <v>872</v>
      </c>
      <c r="U7" s="92"/>
      <c r="V7" s="92">
        <v>26</v>
      </c>
      <c r="W7" s="92"/>
      <c r="X7" s="92">
        <f>532.2+86+1874</f>
        <v>2492.1999999999998</v>
      </c>
      <c r="Y7" s="92"/>
      <c r="Z7" s="92">
        <f>1077+1005</f>
        <v>2082</v>
      </c>
      <c r="AA7" s="92">
        <v>250</v>
      </c>
      <c r="AB7" s="92">
        <v>2579</v>
      </c>
      <c r="AC7" s="92">
        <v>3679</v>
      </c>
      <c r="AD7" s="92">
        <v>75651.929999999993</v>
      </c>
      <c r="AE7" s="92"/>
      <c r="AF7" s="92">
        <v>28903</v>
      </c>
      <c r="AG7" s="92"/>
    </row>
    <row r="8" spans="1:33" x14ac:dyDescent="0.25">
      <c r="A8" s="92" t="s">
        <v>31</v>
      </c>
      <c r="B8" s="92"/>
      <c r="C8" s="92">
        <f>1088+300+1837+73</f>
        <v>3298</v>
      </c>
      <c r="D8" s="92">
        <f>2818+1500+951</f>
        <v>5269</v>
      </c>
      <c r="E8" s="92"/>
      <c r="F8" s="92">
        <v>10</v>
      </c>
      <c r="G8" s="92"/>
      <c r="H8" s="92"/>
      <c r="I8" s="92">
        <v>10997.71</v>
      </c>
      <c r="J8" s="92">
        <v>191</v>
      </c>
      <c r="K8" s="92"/>
      <c r="L8" s="92">
        <f>68+343+656</f>
        <v>1067</v>
      </c>
      <c r="M8" s="92"/>
      <c r="N8" s="92"/>
      <c r="O8" s="92"/>
      <c r="P8" s="92"/>
      <c r="Q8" s="92">
        <f>Q9-Q4-Q5-Q6-Q7</f>
        <v>4004</v>
      </c>
      <c r="R8" s="92">
        <v>51.08</v>
      </c>
      <c r="S8" s="92">
        <f>547.87+361.82+35.28</f>
        <v>944.97</v>
      </c>
      <c r="T8" s="92"/>
      <c r="U8" s="92">
        <v>82680</v>
      </c>
      <c r="V8" s="92">
        <v>223</v>
      </c>
      <c r="W8" s="92"/>
      <c r="X8" s="92">
        <v>1000</v>
      </c>
      <c r="Y8" s="92">
        <v>168</v>
      </c>
      <c r="Z8" s="92">
        <v>12955</v>
      </c>
      <c r="AA8" s="92">
        <v>1961</v>
      </c>
      <c r="AB8" s="92"/>
      <c r="AC8" s="92"/>
      <c r="AD8" s="92">
        <v>102336</v>
      </c>
      <c r="AE8" s="92">
        <f>90008+58659+1381+1299</f>
        <v>151347</v>
      </c>
      <c r="AF8" s="92">
        <f>11614+90091</f>
        <v>101705</v>
      </c>
      <c r="AG8" s="92">
        <f>270+43</f>
        <v>313</v>
      </c>
    </row>
    <row r="9" spans="1:33" s="7" customFormat="1" x14ac:dyDescent="0.25">
      <c r="A9" s="10" t="s">
        <v>40</v>
      </c>
      <c r="B9" s="10">
        <f>SUM(B4:B8)</f>
        <v>24735</v>
      </c>
      <c r="C9" s="10">
        <f>SUM(C4:C8)</f>
        <v>64636</v>
      </c>
      <c r="D9" s="10">
        <f>SUM(D4:D8)</f>
        <v>45980</v>
      </c>
      <c r="E9" s="10">
        <f>SUM(E4:E8)</f>
        <v>411137</v>
      </c>
      <c r="F9" s="10">
        <v>137498</v>
      </c>
      <c r="G9" s="10">
        <f t="shared" ref="G9:P9" si="0">SUM(G4:G8)</f>
        <v>235719</v>
      </c>
      <c r="H9" s="10">
        <f t="shared" si="0"/>
        <v>0</v>
      </c>
      <c r="I9" s="10">
        <f t="shared" si="0"/>
        <v>73718.91</v>
      </c>
      <c r="J9" s="10">
        <f t="shared" si="0"/>
        <v>14757</v>
      </c>
      <c r="K9" s="10">
        <f t="shared" si="0"/>
        <v>133991.96000000002</v>
      </c>
      <c r="L9" s="10">
        <f t="shared" si="0"/>
        <v>202145</v>
      </c>
      <c r="M9" s="10">
        <f t="shared" si="0"/>
        <v>411179</v>
      </c>
      <c r="N9" s="10">
        <f t="shared" si="0"/>
        <v>740642</v>
      </c>
      <c r="O9" s="10">
        <f t="shared" si="0"/>
        <v>283198</v>
      </c>
      <c r="P9" s="10">
        <f t="shared" si="0"/>
        <v>39039</v>
      </c>
      <c r="Q9" s="10">
        <v>72001</v>
      </c>
      <c r="R9" s="10">
        <f t="shared" ref="R9:X9" si="1">SUM(R4:R8)</f>
        <v>59606.820000000007</v>
      </c>
      <c r="S9" s="10">
        <f t="shared" si="1"/>
        <v>44406.15</v>
      </c>
      <c r="T9" s="10">
        <f t="shared" si="1"/>
        <v>97731</v>
      </c>
      <c r="U9" s="10">
        <f t="shared" si="1"/>
        <v>692955.53</v>
      </c>
      <c r="V9" s="10">
        <f t="shared" si="1"/>
        <v>19552</v>
      </c>
      <c r="W9" s="10">
        <f t="shared" si="1"/>
        <v>19045</v>
      </c>
      <c r="X9" s="10">
        <f t="shared" si="1"/>
        <v>216606.2</v>
      </c>
      <c r="Y9" s="10">
        <f t="shared" ref="Y9:AG9" si="2">SUM(Y4:Y8)</f>
        <v>115528</v>
      </c>
      <c r="Z9" s="10">
        <f t="shared" si="2"/>
        <v>272233</v>
      </c>
      <c r="AA9" s="10">
        <f t="shared" si="2"/>
        <v>91875</v>
      </c>
      <c r="AB9" s="10">
        <f t="shared" si="2"/>
        <v>534605</v>
      </c>
      <c r="AC9" s="10">
        <f t="shared" si="2"/>
        <v>394802</v>
      </c>
      <c r="AD9" s="10">
        <f t="shared" si="2"/>
        <v>1453042.93</v>
      </c>
      <c r="AE9" s="10">
        <f t="shared" si="2"/>
        <v>754684</v>
      </c>
      <c r="AF9" s="10">
        <f t="shared" si="2"/>
        <v>817936</v>
      </c>
      <c r="AG9" s="10">
        <f t="shared" si="2"/>
        <v>83356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  <col min="36" max="37" width="16" style="118" customWidth="1"/>
    <col min="38" max="63" width="16" customWidth="1"/>
  </cols>
  <sheetData>
    <row r="1" spans="1:63" ht="18.75" x14ac:dyDescent="0.3">
      <c r="A1" s="15" t="s">
        <v>247</v>
      </c>
    </row>
    <row r="2" spans="1:63" x14ac:dyDescent="0.25">
      <c r="A2" s="1" t="s">
        <v>0</v>
      </c>
      <c r="B2" s="153" t="s">
        <v>1</v>
      </c>
      <c r="C2" s="154"/>
      <c r="D2" s="153" t="s">
        <v>234</v>
      </c>
      <c r="E2" s="154"/>
      <c r="F2" s="153" t="s">
        <v>2</v>
      </c>
      <c r="G2" s="154"/>
      <c r="H2" s="153" t="s">
        <v>3</v>
      </c>
      <c r="I2" s="154"/>
      <c r="J2" s="153" t="s">
        <v>243</v>
      </c>
      <c r="K2" s="154"/>
      <c r="L2" s="153" t="s">
        <v>235</v>
      </c>
      <c r="M2" s="154"/>
      <c r="N2" s="153" t="s">
        <v>5</v>
      </c>
      <c r="O2" s="154"/>
      <c r="P2" s="153" t="s">
        <v>4</v>
      </c>
      <c r="Q2" s="154"/>
      <c r="R2" s="153" t="s">
        <v>6</v>
      </c>
      <c r="S2" s="154"/>
      <c r="T2" s="153" t="s">
        <v>246</v>
      </c>
      <c r="U2" s="154"/>
      <c r="V2" s="153" t="s">
        <v>7</v>
      </c>
      <c r="W2" s="154"/>
      <c r="X2" s="153" t="s">
        <v>8</v>
      </c>
      <c r="Y2" s="154"/>
      <c r="Z2" s="153" t="s">
        <v>9</v>
      </c>
      <c r="AA2" s="154"/>
      <c r="AB2" s="153" t="s">
        <v>242</v>
      </c>
      <c r="AC2" s="154"/>
      <c r="AD2" s="153" t="s">
        <v>10</v>
      </c>
      <c r="AE2" s="154"/>
      <c r="AF2" s="153" t="s">
        <v>11</v>
      </c>
      <c r="AG2" s="154"/>
      <c r="AH2" s="153" t="s">
        <v>236</v>
      </c>
      <c r="AI2" s="154"/>
      <c r="AJ2" s="153" t="s">
        <v>245</v>
      </c>
      <c r="AK2" s="154"/>
      <c r="AL2" s="153" t="s">
        <v>12</v>
      </c>
      <c r="AM2" s="154"/>
      <c r="AN2" s="153" t="s">
        <v>237</v>
      </c>
      <c r="AO2" s="154"/>
      <c r="AP2" s="158" t="s">
        <v>238</v>
      </c>
      <c r="AQ2" s="160"/>
      <c r="AR2" s="153" t="s">
        <v>241</v>
      </c>
      <c r="AS2" s="154"/>
      <c r="AT2" s="153" t="s">
        <v>13</v>
      </c>
      <c r="AU2" s="154"/>
      <c r="AV2" s="153" t="s">
        <v>14</v>
      </c>
      <c r="AW2" s="154"/>
      <c r="AX2" s="153" t="s">
        <v>15</v>
      </c>
      <c r="AY2" s="154"/>
      <c r="AZ2" s="153" t="s">
        <v>16</v>
      </c>
      <c r="BA2" s="154"/>
      <c r="BB2" s="153" t="s">
        <v>17</v>
      </c>
      <c r="BC2" s="154"/>
      <c r="BD2" s="153" t="s">
        <v>239</v>
      </c>
      <c r="BE2" s="154"/>
      <c r="BF2" s="153" t="s">
        <v>240</v>
      </c>
      <c r="BG2" s="154"/>
      <c r="BH2" s="153" t="s">
        <v>18</v>
      </c>
      <c r="BI2" s="154"/>
      <c r="BJ2" s="153" t="s">
        <v>19</v>
      </c>
      <c r="BK2" s="154"/>
    </row>
    <row r="3" spans="1:63" ht="30" x14ac:dyDescent="0.25">
      <c r="A3" s="1"/>
      <c r="B3" s="53" t="s">
        <v>303</v>
      </c>
      <c r="C3" s="54" t="s">
        <v>302</v>
      </c>
      <c r="D3" s="53" t="s">
        <v>303</v>
      </c>
      <c r="E3" s="54" t="s">
        <v>302</v>
      </c>
      <c r="F3" s="53" t="s">
        <v>303</v>
      </c>
      <c r="G3" s="54" t="s">
        <v>302</v>
      </c>
      <c r="H3" s="53" t="s">
        <v>303</v>
      </c>
      <c r="I3" s="54" t="s">
        <v>302</v>
      </c>
      <c r="J3" s="53" t="s">
        <v>303</v>
      </c>
      <c r="K3" s="54" t="s">
        <v>302</v>
      </c>
      <c r="L3" s="53" t="s">
        <v>303</v>
      </c>
      <c r="M3" s="54" t="s">
        <v>302</v>
      </c>
      <c r="N3" s="53" t="s">
        <v>303</v>
      </c>
      <c r="O3" s="54" t="s">
        <v>302</v>
      </c>
      <c r="P3" s="53" t="s">
        <v>303</v>
      </c>
      <c r="Q3" s="54" t="s">
        <v>302</v>
      </c>
      <c r="R3" s="53" t="s">
        <v>303</v>
      </c>
      <c r="S3" s="54" t="s">
        <v>302</v>
      </c>
      <c r="T3" s="53" t="s">
        <v>303</v>
      </c>
      <c r="U3" s="54" t="s">
        <v>302</v>
      </c>
      <c r="V3" s="53" t="s">
        <v>303</v>
      </c>
      <c r="W3" s="54" t="s">
        <v>302</v>
      </c>
      <c r="X3" s="53" t="s">
        <v>303</v>
      </c>
      <c r="Y3" s="54" t="s">
        <v>302</v>
      </c>
      <c r="Z3" s="53" t="s">
        <v>303</v>
      </c>
      <c r="AA3" s="54" t="s">
        <v>302</v>
      </c>
      <c r="AB3" s="53" t="s">
        <v>303</v>
      </c>
      <c r="AC3" s="54" t="s">
        <v>302</v>
      </c>
      <c r="AD3" s="53" t="s">
        <v>303</v>
      </c>
      <c r="AE3" s="54" t="s">
        <v>302</v>
      </c>
      <c r="AF3" s="53" t="s">
        <v>303</v>
      </c>
      <c r="AG3" s="54" t="s">
        <v>302</v>
      </c>
      <c r="AH3" s="53" t="s">
        <v>303</v>
      </c>
      <c r="AI3" s="54" t="s">
        <v>302</v>
      </c>
      <c r="AJ3" s="119" t="s">
        <v>303</v>
      </c>
      <c r="AK3" s="120" t="s">
        <v>302</v>
      </c>
      <c r="AL3" s="53" t="s">
        <v>303</v>
      </c>
      <c r="AM3" s="54" t="s">
        <v>302</v>
      </c>
      <c r="AN3" s="53" t="s">
        <v>303</v>
      </c>
      <c r="AO3" s="54" t="s">
        <v>302</v>
      </c>
      <c r="AP3" s="53" t="s">
        <v>303</v>
      </c>
      <c r="AQ3" s="54" t="s">
        <v>302</v>
      </c>
      <c r="AR3" s="53" t="s">
        <v>303</v>
      </c>
      <c r="AS3" s="54" t="s">
        <v>302</v>
      </c>
      <c r="AT3" s="53" t="s">
        <v>303</v>
      </c>
      <c r="AU3" s="54" t="s">
        <v>302</v>
      </c>
      <c r="AV3" s="53" t="s">
        <v>303</v>
      </c>
      <c r="AW3" s="54" t="s">
        <v>302</v>
      </c>
      <c r="AX3" s="53" t="s">
        <v>303</v>
      </c>
      <c r="AY3" s="54" t="s">
        <v>302</v>
      </c>
      <c r="AZ3" s="53" t="s">
        <v>303</v>
      </c>
      <c r="BA3" s="54" t="s">
        <v>302</v>
      </c>
      <c r="BB3" s="53" t="s">
        <v>303</v>
      </c>
      <c r="BC3" s="54" t="s">
        <v>302</v>
      </c>
      <c r="BD3" s="53" t="s">
        <v>303</v>
      </c>
      <c r="BE3" s="54" t="s">
        <v>302</v>
      </c>
      <c r="BF3" s="53" t="s">
        <v>303</v>
      </c>
      <c r="BG3" s="54" t="s">
        <v>302</v>
      </c>
      <c r="BH3" s="53" t="s">
        <v>303</v>
      </c>
      <c r="BI3" s="54" t="s">
        <v>302</v>
      </c>
      <c r="BJ3" s="53" t="s">
        <v>303</v>
      </c>
      <c r="BK3" s="54" t="s">
        <v>302</v>
      </c>
    </row>
    <row r="4" spans="1:63" x14ac:dyDescent="0.25">
      <c r="A4" s="11" t="s">
        <v>123</v>
      </c>
      <c r="B4" s="34">
        <v>1.2222999999999999</v>
      </c>
      <c r="C4" s="34">
        <v>1.5187999999999999</v>
      </c>
      <c r="D4" s="61">
        <v>0.31</v>
      </c>
      <c r="E4" s="61">
        <v>0.36</v>
      </c>
      <c r="F4" s="34">
        <v>9.6600000000000005E-2</v>
      </c>
      <c r="G4" s="34">
        <v>0.10150000000000001</v>
      </c>
      <c r="H4" s="34">
        <v>-0.13250000000000001</v>
      </c>
      <c r="I4" s="35">
        <v>6.3899999999999998E-2</v>
      </c>
      <c r="J4" s="91">
        <v>0.57999999999999996</v>
      </c>
      <c r="K4" s="91">
        <v>0.51</v>
      </c>
      <c r="L4" s="34">
        <v>0.13089999999999999</v>
      </c>
      <c r="M4" s="34">
        <v>0.10390000000000001</v>
      </c>
      <c r="N4" s="34">
        <v>5.04E-2</v>
      </c>
      <c r="O4" s="34">
        <v>3.1199999999999999E-2</v>
      </c>
      <c r="P4" s="33">
        <v>0.89</v>
      </c>
      <c r="Q4" s="33">
        <v>0.74</v>
      </c>
      <c r="R4" s="33">
        <v>-0.06</v>
      </c>
      <c r="S4" s="33">
        <v>0.05</v>
      </c>
      <c r="T4" s="34">
        <v>1.0436000000000001</v>
      </c>
      <c r="U4" s="34">
        <v>0.91759999999999997</v>
      </c>
      <c r="V4" s="35">
        <v>6.8199999999999997E-2</v>
      </c>
      <c r="W4" s="34">
        <v>9.1600000000000001E-2</v>
      </c>
      <c r="X4" s="33">
        <v>0.16</v>
      </c>
      <c r="Y4" s="33">
        <v>0.26</v>
      </c>
      <c r="Z4" s="34">
        <v>-0.1188</v>
      </c>
      <c r="AA4" s="34">
        <v>-1.95E-2</v>
      </c>
      <c r="AB4" s="33">
        <v>0.5</v>
      </c>
      <c r="AC4" s="33">
        <v>0.31</v>
      </c>
      <c r="AD4" s="33">
        <v>-0.03</v>
      </c>
      <c r="AE4" s="117">
        <v>0.02</v>
      </c>
      <c r="AF4" s="72">
        <v>0.38700000000000001</v>
      </c>
      <c r="AG4" s="33">
        <v>0.36</v>
      </c>
      <c r="AH4" s="33">
        <v>0.25</v>
      </c>
      <c r="AI4" s="33">
        <v>0.31</v>
      </c>
      <c r="AJ4" s="86">
        <v>0.55000000000000004</v>
      </c>
      <c r="AK4" s="122">
        <v>0.67</v>
      </c>
      <c r="AL4" s="33"/>
      <c r="AM4" s="34">
        <v>-4.53E-2</v>
      </c>
      <c r="AN4" s="33">
        <v>-0.13</v>
      </c>
      <c r="AO4" s="33">
        <v>-0.09</v>
      </c>
      <c r="AP4" s="35">
        <v>-4.5400000000000003E-2</v>
      </c>
      <c r="AQ4" s="35">
        <v>0.50800000000000001</v>
      </c>
      <c r="AR4" s="61">
        <v>0.18</v>
      </c>
      <c r="AS4" s="35">
        <v>0.14299999999999999</v>
      </c>
      <c r="AT4" s="35">
        <v>-0.12</v>
      </c>
      <c r="AU4" s="35">
        <v>1.7000000000000001E-2</v>
      </c>
      <c r="AV4" s="34">
        <v>0.1099</v>
      </c>
      <c r="AW4" s="34">
        <v>0.13100000000000001</v>
      </c>
      <c r="AX4" s="34">
        <v>-0.1113</v>
      </c>
      <c r="AY4" s="34">
        <v>-0.1857</v>
      </c>
      <c r="AZ4" s="34">
        <v>0.24590000000000001</v>
      </c>
      <c r="BA4" s="34">
        <v>0.26889999999999997</v>
      </c>
      <c r="BB4" s="33">
        <v>0.15</v>
      </c>
      <c r="BC4" s="33">
        <v>0.15</v>
      </c>
      <c r="BD4" s="91">
        <v>15.89</v>
      </c>
      <c r="BE4" s="91">
        <v>17.77</v>
      </c>
      <c r="BF4" s="91">
        <v>10.51</v>
      </c>
      <c r="BG4" s="91">
        <v>12.52</v>
      </c>
      <c r="BH4" s="34">
        <v>-0.16309999999999999</v>
      </c>
      <c r="BI4" s="34">
        <v>-7.4800000000000005E-2</v>
      </c>
      <c r="BJ4" s="34">
        <v>0.14580000000000001</v>
      </c>
      <c r="BK4" s="34">
        <v>0.1545</v>
      </c>
    </row>
    <row r="5" spans="1:63" ht="15" customHeight="1" x14ac:dyDescent="0.25">
      <c r="A5" s="11" t="s">
        <v>124</v>
      </c>
      <c r="B5" s="30">
        <v>1.03</v>
      </c>
      <c r="C5" s="30">
        <v>2.54</v>
      </c>
      <c r="D5" s="61">
        <v>0.8</v>
      </c>
      <c r="E5" s="61">
        <v>2.3199999999999998</v>
      </c>
      <c r="F5" s="36">
        <v>0.37</v>
      </c>
      <c r="G5" s="36">
        <v>1.91</v>
      </c>
      <c r="H5" s="30">
        <v>0.36</v>
      </c>
      <c r="I5" s="30">
        <v>1.29</v>
      </c>
      <c r="J5" s="91">
        <v>0.95</v>
      </c>
      <c r="K5" s="91">
        <v>2.58</v>
      </c>
      <c r="L5" s="91">
        <v>0.67</v>
      </c>
      <c r="M5" s="91">
        <v>1.77</v>
      </c>
      <c r="N5" s="91">
        <v>0.1</v>
      </c>
      <c r="O5" s="91">
        <v>0.1</v>
      </c>
      <c r="P5" s="30">
        <v>0.93</v>
      </c>
      <c r="Q5" s="30">
        <v>2.2000000000000002</v>
      </c>
      <c r="R5" s="30">
        <v>0.9</v>
      </c>
      <c r="S5" s="30">
        <v>2.4</v>
      </c>
      <c r="T5" s="30">
        <v>1.03</v>
      </c>
      <c r="U5" s="30">
        <v>2.35</v>
      </c>
      <c r="V5" s="91">
        <v>0.93</v>
      </c>
      <c r="W5" s="91">
        <v>2.92</v>
      </c>
      <c r="X5" s="30">
        <v>0.53</v>
      </c>
      <c r="Y5" s="30">
        <v>1.51</v>
      </c>
      <c r="Z5" s="30"/>
      <c r="AA5" s="91">
        <v>1.93</v>
      </c>
      <c r="AB5" s="30">
        <v>0.8</v>
      </c>
      <c r="AC5" s="30">
        <v>1.79</v>
      </c>
      <c r="AD5" s="30">
        <v>0.45</v>
      </c>
      <c r="AE5" s="30">
        <v>1.27</v>
      </c>
      <c r="AF5" s="91">
        <v>1.1000000000000001</v>
      </c>
      <c r="AG5" s="91">
        <v>2.72</v>
      </c>
      <c r="AH5" s="86">
        <v>1.33</v>
      </c>
      <c r="AI5" s="86">
        <v>3.7</v>
      </c>
      <c r="AJ5" s="86" t="s">
        <v>318</v>
      </c>
      <c r="AK5" s="86" t="s">
        <v>320</v>
      </c>
      <c r="AL5" s="30"/>
      <c r="AM5" s="34"/>
      <c r="AN5" s="30">
        <v>0.14000000000000001</v>
      </c>
      <c r="AO5" s="30">
        <v>0.32</v>
      </c>
      <c r="AP5" s="91">
        <v>0.46</v>
      </c>
      <c r="AQ5" s="91">
        <v>1.46</v>
      </c>
      <c r="AR5" s="30">
        <v>0.95</v>
      </c>
      <c r="AS5" s="30">
        <v>3.2</v>
      </c>
      <c r="AT5" s="30">
        <v>0.48</v>
      </c>
      <c r="AU5" s="30">
        <v>1.4</v>
      </c>
      <c r="AV5" s="30">
        <v>0.65</v>
      </c>
      <c r="AW5" s="30">
        <v>2.1</v>
      </c>
      <c r="AX5" s="34">
        <v>0.21260000000000001</v>
      </c>
      <c r="AY5" s="34">
        <v>0.55249999999999999</v>
      </c>
      <c r="AZ5" s="30">
        <v>0.59</v>
      </c>
      <c r="BA5" s="30">
        <v>1.7</v>
      </c>
      <c r="BB5" s="30">
        <v>0.77</v>
      </c>
      <c r="BC5" s="30">
        <v>2.08</v>
      </c>
      <c r="BD5" s="91">
        <v>0.47</v>
      </c>
      <c r="BE5" s="91">
        <v>1.45</v>
      </c>
      <c r="BF5" s="30">
        <v>8.69</v>
      </c>
      <c r="BG5" s="30">
        <v>27.83</v>
      </c>
      <c r="BH5" s="30">
        <v>1.19</v>
      </c>
      <c r="BI5" s="30">
        <v>3.75</v>
      </c>
      <c r="BJ5" s="30">
        <v>0.86</v>
      </c>
      <c r="BK5" s="30">
        <v>2.2599999999999998</v>
      </c>
    </row>
    <row r="6" spans="1:63" x14ac:dyDescent="0.25">
      <c r="A6" s="11" t="s">
        <v>125</v>
      </c>
      <c r="B6" s="33">
        <v>1.4804999999999999</v>
      </c>
      <c r="C6" s="33">
        <v>1.4804999999999999</v>
      </c>
      <c r="D6" s="61">
        <v>0.27</v>
      </c>
      <c r="E6" s="61">
        <v>0.27</v>
      </c>
      <c r="F6" s="35">
        <v>0.1431</v>
      </c>
      <c r="G6" s="35">
        <v>0.1431</v>
      </c>
      <c r="H6" s="34">
        <v>0.15579999999999999</v>
      </c>
      <c r="I6" s="34">
        <v>0.15579999999999999</v>
      </c>
      <c r="J6" s="91">
        <v>0.08</v>
      </c>
      <c r="K6" s="91">
        <v>0.08</v>
      </c>
      <c r="L6" s="34">
        <v>5.7799999999999997E-2</v>
      </c>
      <c r="M6" s="34">
        <v>5.7799999999999997E-2</v>
      </c>
      <c r="N6" s="34">
        <v>0.1822</v>
      </c>
      <c r="O6" s="34">
        <v>0.1822</v>
      </c>
      <c r="P6" s="33">
        <v>0.01</v>
      </c>
      <c r="Q6" s="33">
        <v>7.0000000000000007E-2</v>
      </c>
      <c r="R6" s="33">
        <v>0.11</v>
      </c>
      <c r="S6" s="33">
        <v>0.11</v>
      </c>
      <c r="T6" s="34">
        <v>0.1951</v>
      </c>
      <c r="U6" s="34">
        <v>0.1951</v>
      </c>
      <c r="V6" s="34">
        <v>6.8000000000000005E-2</v>
      </c>
      <c r="W6" s="34">
        <v>6.8000000000000005E-2</v>
      </c>
      <c r="X6" s="33">
        <v>0.18</v>
      </c>
      <c r="Y6" s="33">
        <v>0.18</v>
      </c>
      <c r="Z6" s="33"/>
      <c r="AA6" s="34">
        <v>0.16370000000000001</v>
      </c>
      <c r="AB6" s="33">
        <v>0.35</v>
      </c>
      <c r="AC6" s="61">
        <v>0.35</v>
      </c>
      <c r="AD6" s="91">
        <v>0.03</v>
      </c>
      <c r="AE6" s="91">
        <v>0.03</v>
      </c>
      <c r="AF6" s="33">
        <v>0</v>
      </c>
      <c r="AG6" s="33">
        <v>0</v>
      </c>
      <c r="AH6" s="33">
        <v>-0.38</v>
      </c>
      <c r="AI6" s="33">
        <v>-0.38</v>
      </c>
      <c r="AJ6" s="122">
        <v>0.38</v>
      </c>
      <c r="AK6" s="122">
        <v>0.38</v>
      </c>
      <c r="AL6" s="33"/>
      <c r="AM6" s="34"/>
      <c r="AN6" s="33">
        <v>-0.2</v>
      </c>
      <c r="AO6" s="33">
        <v>-0.2</v>
      </c>
      <c r="AP6" s="35">
        <v>-2.7300000000000001E-2</v>
      </c>
      <c r="AQ6" s="35">
        <v>-2.7300000000000001E-2</v>
      </c>
      <c r="AR6" s="61">
        <v>0.1</v>
      </c>
      <c r="AS6" s="150">
        <v>9.6000000000000002E-2</v>
      </c>
      <c r="AT6" s="61">
        <v>0.10199999999999999</v>
      </c>
      <c r="AU6" s="61">
        <v>0.10199999999999999</v>
      </c>
      <c r="AV6" s="34">
        <v>8.6199999999999999E-2</v>
      </c>
      <c r="AW6" s="34">
        <v>8.6199999999999999E-2</v>
      </c>
      <c r="AX6" s="34">
        <v>0.1057</v>
      </c>
      <c r="AY6" s="34">
        <v>0.1057</v>
      </c>
      <c r="AZ6" s="34">
        <v>0.31609999999999999</v>
      </c>
      <c r="BA6" s="34">
        <v>0.31609999999999999</v>
      </c>
      <c r="BB6" s="33">
        <v>0.02</v>
      </c>
      <c r="BC6" s="33">
        <v>0.12</v>
      </c>
      <c r="BD6" s="34">
        <v>6.54</v>
      </c>
      <c r="BE6" s="34">
        <v>6.54</v>
      </c>
      <c r="BF6" s="30">
        <v>-69.16</v>
      </c>
      <c r="BG6" s="30">
        <v>-69.16</v>
      </c>
      <c r="BH6" s="34">
        <v>-0.25890000000000002</v>
      </c>
      <c r="BI6" s="34">
        <v>-0.25890000000000002</v>
      </c>
      <c r="BJ6" s="34">
        <v>-1.15E-2</v>
      </c>
      <c r="BK6" s="34">
        <v>-1.15E-2</v>
      </c>
    </row>
    <row r="7" spans="1:63" x14ac:dyDescent="0.25">
      <c r="A7" s="11" t="s">
        <v>126</v>
      </c>
      <c r="B7" s="34">
        <v>0.5635</v>
      </c>
      <c r="C7" s="34">
        <v>0.59599999999999997</v>
      </c>
      <c r="D7" s="61">
        <v>0.78</v>
      </c>
      <c r="E7" s="33">
        <v>0.77</v>
      </c>
      <c r="F7" s="34">
        <v>0.53890000000000005</v>
      </c>
      <c r="G7" s="34">
        <v>0.48949999999999999</v>
      </c>
      <c r="H7" s="34">
        <v>0.67179999999999995</v>
      </c>
      <c r="I7" s="34">
        <v>0.54249999999999998</v>
      </c>
      <c r="J7" s="91">
        <v>0.82</v>
      </c>
      <c r="K7" s="91">
        <v>0.81</v>
      </c>
      <c r="L7" s="34">
        <v>0.7167</v>
      </c>
      <c r="M7" s="34">
        <v>0.72829999999999995</v>
      </c>
      <c r="N7" s="34">
        <v>0.81430000000000002</v>
      </c>
      <c r="O7" s="34">
        <v>0.79759999999999998</v>
      </c>
      <c r="P7" s="33">
        <v>0.59</v>
      </c>
      <c r="Q7" s="33">
        <v>0.73</v>
      </c>
      <c r="R7" s="33">
        <v>0.59</v>
      </c>
      <c r="S7" s="33">
        <v>0.61</v>
      </c>
      <c r="T7" s="34">
        <v>0.80800000000000005</v>
      </c>
      <c r="U7" s="35">
        <v>0.78710000000000002</v>
      </c>
      <c r="V7" s="34">
        <v>0.55420000000000003</v>
      </c>
      <c r="W7" s="34">
        <v>0.5071</v>
      </c>
      <c r="X7" s="33">
        <v>0.76</v>
      </c>
      <c r="Y7" s="33">
        <v>0.7</v>
      </c>
      <c r="Z7" s="34">
        <v>0.73819999999999997</v>
      </c>
      <c r="AA7" s="34">
        <v>0.67659999999999998</v>
      </c>
      <c r="AB7" s="33">
        <v>0.77</v>
      </c>
      <c r="AC7" s="33">
        <v>0.77</v>
      </c>
      <c r="AD7" s="33">
        <v>0.9</v>
      </c>
      <c r="AE7" s="33">
        <v>0.84</v>
      </c>
      <c r="AF7" s="72">
        <v>0.65700000000000003</v>
      </c>
      <c r="AG7" s="72">
        <v>0.63600000000000001</v>
      </c>
      <c r="AH7" s="33">
        <v>0.95</v>
      </c>
      <c r="AI7" s="33">
        <v>0.95</v>
      </c>
      <c r="AJ7" s="122">
        <v>0.77</v>
      </c>
      <c r="AK7" s="122">
        <v>0.77</v>
      </c>
      <c r="AL7" s="33"/>
      <c r="AM7" s="34">
        <v>0.88990000000000002</v>
      </c>
      <c r="AN7" s="33">
        <v>0.89</v>
      </c>
      <c r="AO7" s="33">
        <v>0.87</v>
      </c>
      <c r="AP7" s="35">
        <v>0.84350000000000003</v>
      </c>
      <c r="AQ7" s="35">
        <v>0.82130000000000003</v>
      </c>
      <c r="AR7" s="61">
        <v>0.56999999999999995</v>
      </c>
      <c r="AS7" s="61">
        <v>0.56000000000000005</v>
      </c>
      <c r="AT7" s="117">
        <v>0.77</v>
      </c>
      <c r="AU7" s="35">
        <v>0.72299999999999998</v>
      </c>
      <c r="AV7" s="34">
        <v>0.43880000000000002</v>
      </c>
      <c r="AW7" s="34">
        <v>0.45639999999999997</v>
      </c>
      <c r="AX7" s="34">
        <v>0.91180000000000005</v>
      </c>
      <c r="AY7" s="34">
        <v>0.91359999999999997</v>
      </c>
      <c r="AZ7" s="34">
        <v>0.94540000000000002</v>
      </c>
      <c r="BA7" s="34">
        <v>0.94359999999999999</v>
      </c>
      <c r="BB7" s="33">
        <v>0.73</v>
      </c>
      <c r="BC7" s="33">
        <v>0.69</v>
      </c>
      <c r="BD7" s="91">
        <v>78.84</v>
      </c>
      <c r="BE7" s="91">
        <v>78.61</v>
      </c>
      <c r="BF7" s="30">
        <v>83.65</v>
      </c>
      <c r="BG7" s="30">
        <v>83.45</v>
      </c>
      <c r="BH7" s="34">
        <v>0.87490000000000001</v>
      </c>
      <c r="BI7" s="34">
        <v>0.83620000000000005</v>
      </c>
      <c r="BJ7" s="34">
        <v>0.54169999999999996</v>
      </c>
      <c r="BK7" s="34">
        <v>0.44619999999999999</v>
      </c>
    </row>
    <row r="8" spans="1:63" x14ac:dyDescent="0.25">
      <c r="A8" s="11" t="s">
        <v>127</v>
      </c>
      <c r="B8" s="34">
        <v>-5.79E-2</v>
      </c>
      <c r="C8" s="34">
        <v>-4.41E-2</v>
      </c>
      <c r="D8" s="61">
        <v>0</v>
      </c>
      <c r="E8" s="33">
        <v>0.02</v>
      </c>
      <c r="F8" s="34">
        <v>-3.7000000000000002E-3</v>
      </c>
      <c r="G8" s="34">
        <v>-3.0499999999999999E-2</v>
      </c>
      <c r="H8" s="34">
        <v>1.7399999999999999E-2</v>
      </c>
      <c r="I8" s="34">
        <v>-1.83E-2</v>
      </c>
      <c r="J8" s="91">
        <v>0.05</v>
      </c>
      <c r="K8" s="91">
        <v>0.03</v>
      </c>
      <c r="L8" s="34">
        <v>1.9400000000000001E-2</v>
      </c>
      <c r="M8" s="34">
        <v>3.3500000000000002E-2</v>
      </c>
      <c r="N8" s="34">
        <v>-2.24E-2</v>
      </c>
      <c r="O8" s="34">
        <v>-2.53E-2</v>
      </c>
      <c r="P8" s="33">
        <v>-0.03</v>
      </c>
      <c r="Q8" s="33">
        <v>0.02</v>
      </c>
      <c r="R8" s="33">
        <v>-0.02</v>
      </c>
      <c r="S8" s="34">
        <v>3.5000000000000001E-3</v>
      </c>
      <c r="T8" s="34">
        <v>3.9100000000000003E-2</v>
      </c>
      <c r="U8" s="35">
        <v>3.9300000000000002E-2</v>
      </c>
      <c r="V8" s="34">
        <v>-3.0599999999999999E-2</v>
      </c>
      <c r="W8" s="34">
        <v>-4.6199999999999998E-2</v>
      </c>
      <c r="X8" s="33">
        <v>0.06</v>
      </c>
      <c r="Y8" s="33">
        <v>0.05</v>
      </c>
      <c r="Z8" s="34">
        <v>6.9099999999999995E-2</v>
      </c>
      <c r="AA8" s="34">
        <v>6.0299999999999999E-2</v>
      </c>
      <c r="AB8" s="33">
        <v>0.05</v>
      </c>
      <c r="AC8" s="33">
        <v>0.04</v>
      </c>
      <c r="AD8" s="33">
        <v>0.1</v>
      </c>
      <c r="AE8" s="33">
        <v>0.1</v>
      </c>
      <c r="AF8" s="72">
        <v>-1.2999999999999999E-2</v>
      </c>
      <c r="AG8" s="72">
        <v>-2.1999999999999999E-2</v>
      </c>
      <c r="AH8" s="33">
        <v>0.11</v>
      </c>
      <c r="AI8" s="33">
        <v>0.11</v>
      </c>
      <c r="AJ8" s="122">
        <v>0.05</v>
      </c>
      <c r="AK8" s="122">
        <v>0.03</v>
      </c>
      <c r="AL8" s="33"/>
      <c r="AM8" s="34">
        <v>6.6699999999999995E-2</v>
      </c>
      <c r="AN8" s="33">
        <v>0.05</v>
      </c>
      <c r="AO8" s="33">
        <v>0.06</v>
      </c>
      <c r="AP8" s="35">
        <v>0.15</v>
      </c>
      <c r="AQ8" s="35">
        <v>0.13780000000000001</v>
      </c>
      <c r="AR8" s="61">
        <v>0</v>
      </c>
      <c r="AS8" s="35">
        <v>-6.1000000000000004E-3</v>
      </c>
      <c r="AT8" s="35">
        <v>9.0999999999999998E-2</v>
      </c>
      <c r="AU8" s="117">
        <v>7.0000000000000007E-2</v>
      </c>
      <c r="AV8" s="34">
        <v>-3.6200000000000003E-2</v>
      </c>
      <c r="AW8" s="34">
        <v>-4.0899999999999999E-2</v>
      </c>
      <c r="AX8" s="34">
        <v>5.3100000000000001E-2</v>
      </c>
      <c r="AY8" s="34">
        <v>5.45E-2</v>
      </c>
      <c r="AZ8" s="34">
        <v>0.14030000000000001</v>
      </c>
      <c r="BA8" s="34">
        <v>0.1343</v>
      </c>
      <c r="BB8" s="33">
        <v>0.01</v>
      </c>
      <c r="BC8" s="33">
        <v>0.03</v>
      </c>
      <c r="BD8" s="91">
        <v>8.27</v>
      </c>
      <c r="BE8" s="91">
        <v>7.39</v>
      </c>
      <c r="BF8" s="30">
        <v>8.69</v>
      </c>
      <c r="BG8" s="30">
        <v>7.24</v>
      </c>
      <c r="BH8" s="34">
        <v>8.0699999999999994E-2</v>
      </c>
      <c r="BI8" s="34">
        <v>7.0000000000000007E-2</v>
      </c>
      <c r="BJ8" s="34">
        <v>7.1999999999999995E-2</v>
      </c>
      <c r="BK8" s="34">
        <v>4.6199999999999998E-2</v>
      </c>
    </row>
    <row r="9" spans="1:63" ht="30" x14ac:dyDescent="0.25">
      <c r="A9" s="11" t="s">
        <v>128</v>
      </c>
      <c r="B9" s="34">
        <v>0.44440000000000002</v>
      </c>
      <c r="C9" s="34">
        <v>0.51919999999999999</v>
      </c>
      <c r="D9" s="61">
        <v>0.56999999999999995</v>
      </c>
      <c r="E9" s="33">
        <v>0.55000000000000004</v>
      </c>
      <c r="F9" s="34">
        <v>3.1800000000000002E-2</v>
      </c>
      <c r="G9" s="34">
        <v>2.8299999999999999E-2</v>
      </c>
      <c r="H9" s="34">
        <v>0.26340000000000002</v>
      </c>
      <c r="I9" s="34">
        <v>0.20930000000000001</v>
      </c>
      <c r="J9" s="91">
        <v>0.41</v>
      </c>
      <c r="K9" s="91">
        <v>0.4</v>
      </c>
      <c r="L9" s="34">
        <v>0.39300000000000002</v>
      </c>
      <c r="M9" s="34">
        <v>0.38579999999999998</v>
      </c>
      <c r="N9" s="34">
        <v>0.30859999999999999</v>
      </c>
      <c r="O9" s="34">
        <v>0.2883</v>
      </c>
      <c r="P9" s="33">
        <v>0.45</v>
      </c>
      <c r="Q9" s="33">
        <v>0.46</v>
      </c>
      <c r="R9" s="33">
        <v>0.28999999999999998</v>
      </c>
      <c r="S9" s="33">
        <v>0.31</v>
      </c>
      <c r="T9" s="35">
        <v>0.36809999999999998</v>
      </c>
      <c r="U9" s="35">
        <v>0.36080000000000001</v>
      </c>
      <c r="V9" s="34">
        <v>0.2586</v>
      </c>
      <c r="W9" s="34">
        <v>0.2359</v>
      </c>
      <c r="X9" s="33">
        <v>0.31</v>
      </c>
      <c r="Y9" s="33">
        <v>0.28999999999999998</v>
      </c>
      <c r="Z9" s="34">
        <v>0.2336</v>
      </c>
      <c r="AA9" s="34">
        <v>0.19220000000000001</v>
      </c>
      <c r="AB9" s="33">
        <v>0.36</v>
      </c>
      <c r="AC9" s="33">
        <v>0.39</v>
      </c>
      <c r="AD9" s="33">
        <v>0.49</v>
      </c>
      <c r="AE9" s="33">
        <v>0.46</v>
      </c>
      <c r="AF9" s="72">
        <v>0.439</v>
      </c>
      <c r="AG9" s="72">
        <v>0.41099999999999998</v>
      </c>
      <c r="AH9" s="33">
        <v>0.57999999999999996</v>
      </c>
      <c r="AI9" s="33">
        <v>0.52</v>
      </c>
      <c r="AJ9" s="86">
        <v>0.43</v>
      </c>
      <c r="AK9" s="86">
        <v>0.41</v>
      </c>
      <c r="AL9" s="33"/>
      <c r="AM9" s="34">
        <v>0.25340000000000001</v>
      </c>
      <c r="AN9" s="33">
        <v>1.79</v>
      </c>
      <c r="AO9" s="33">
        <v>1.69</v>
      </c>
      <c r="AP9" s="35">
        <v>0.58350000000000002</v>
      </c>
      <c r="AQ9" s="35">
        <v>0.54520000000000002</v>
      </c>
      <c r="AR9" s="61">
        <v>0.28999999999999998</v>
      </c>
      <c r="AS9" s="35">
        <v>0.23219999999999999</v>
      </c>
      <c r="AT9" s="35">
        <v>0.30199999999999999</v>
      </c>
      <c r="AU9" s="35">
        <v>0.29299999999999998</v>
      </c>
      <c r="AV9" s="34">
        <v>0.28989999999999999</v>
      </c>
      <c r="AW9" s="34">
        <v>0.22989999999999999</v>
      </c>
      <c r="AX9" s="34">
        <v>0.32029999999999997</v>
      </c>
      <c r="AY9" s="34">
        <v>0.3024</v>
      </c>
      <c r="AZ9" s="34">
        <v>0.30299999999999999</v>
      </c>
      <c r="BA9" s="34">
        <v>0.30099999999999999</v>
      </c>
      <c r="BB9" s="33">
        <v>0.33</v>
      </c>
      <c r="BC9" s="33">
        <v>0.32</v>
      </c>
      <c r="BD9" s="91">
        <v>18.79</v>
      </c>
      <c r="BE9" s="91">
        <v>10.73</v>
      </c>
      <c r="BF9" s="30">
        <v>30.26</v>
      </c>
      <c r="BG9" s="30">
        <v>26.81</v>
      </c>
      <c r="BH9" s="34">
        <v>0.33150000000000002</v>
      </c>
      <c r="BI9" s="34">
        <v>0.30549999999999999</v>
      </c>
      <c r="BJ9" s="34">
        <v>0.15190000000000001</v>
      </c>
      <c r="BK9" s="34">
        <v>0.16450000000000001</v>
      </c>
    </row>
    <row r="10" spans="1:63" ht="30" x14ac:dyDescent="0.25">
      <c r="A10" s="11" t="s">
        <v>129</v>
      </c>
      <c r="B10" s="34">
        <v>0.69669999999999999</v>
      </c>
      <c r="C10" s="34">
        <v>0.7893</v>
      </c>
      <c r="D10" s="61">
        <v>0.56999999999999995</v>
      </c>
      <c r="E10" s="33">
        <v>0.57999999999999996</v>
      </c>
      <c r="F10" s="34">
        <v>3.2199999999999999E-2</v>
      </c>
      <c r="G10" s="34">
        <v>1.9599999999999999E-2</v>
      </c>
      <c r="H10" s="34">
        <v>0.29210000000000003</v>
      </c>
      <c r="I10" s="34">
        <v>0.25629999999999997</v>
      </c>
      <c r="J10" s="91">
        <v>0.39</v>
      </c>
      <c r="K10" s="91">
        <v>0.37</v>
      </c>
      <c r="L10" s="34">
        <v>0.41160000000000002</v>
      </c>
      <c r="M10" s="34">
        <v>0.41620000000000001</v>
      </c>
      <c r="N10" s="34">
        <v>0.379</v>
      </c>
      <c r="O10" s="34">
        <v>0.3614</v>
      </c>
      <c r="P10" s="33">
        <v>0.57999999999999996</v>
      </c>
      <c r="Q10" s="33">
        <v>0.53</v>
      </c>
      <c r="R10" s="33">
        <v>0.48</v>
      </c>
      <c r="S10" s="33">
        <v>0.49</v>
      </c>
      <c r="T10" s="35">
        <v>0.40849999999999997</v>
      </c>
      <c r="U10" s="35">
        <v>0.37240000000000001</v>
      </c>
      <c r="V10" s="34">
        <v>0.26169999999999999</v>
      </c>
      <c r="W10" s="34">
        <v>0.24879999999999999</v>
      </c>
      <c r="X10" s="33">
        <v>0.4</v>
      </c>
      <c r="Y10" s="33">
        <v>0.41</v>
      </c>
      <c r="Z10" s="34">
        <v>0.25769999999999998</v>
      </c>
      <c r="AA10" s="34">
        <v>0.22140000000000001</v>
      </c>
      <c r="AB10" s="33">
        <v>0.4</v>
      </c>
      <c r="AC10" s="33">
        <v>0.44</v>
      </c>
      <c r="AD10" s="33">
        <v>0.52</v>
      </c>
      <c r="AE10" s="33">
        <v>0.52</v>
      </c>
      <c r="AF10" s="33">
        <v>0.52</v>
      </c>
      <c r="AG10" s="72">
        <v>0.49099999999999999</v>
      </c>
      <c r="AH10" s="33">
        <v>0.6</v>
      </c>
      <c r="AI10" s="33">
        <v>0.54</v>
      </c>
      <c r="AJ10" s="86">
        <v>0.56000000000000005</v>
      </c>
      <c r="AK10" s="86">
        <v>0.54</v>
      </c>
      <c r="AL10" s="33"/>
      <c r="AM10" s="34">
        <v>0.27010000000000001</v>
      </c>
      <c r="AN10" s="33">
        <v>1.99</v>
      </c>
      <c r="AO10" s="33">
        <v>1.91</v>
      </c>
      <c r="AP10" s="35">
        <v>0.65949999999999998</v>
      </c>
      <c r="AQ10" s="35">
        <v>0.61539999999999995</v>
      </c>
      <c r="AR10" s="61">
        <v>0.38</v>
      </c>
      <c r="AS10" s="35">
        <v>0.30809999999999998</v>
      </c>
      <c r="AT10" s="35">
        <v>0.33600000000000002</v>
      </c>
      <c r="AU10" s="35">
        <v>0.32100000000000001</v>
      </c>
      <c r="AV10" s="34">
        <v>0.39250000000000002</v>
      </c>
      <c r="AW10" s="34">
        <v>0.29320000000000002</v>
      </c>
      <c r="AX10" s="34">
        <v>0.34849999999999998</v>
      </c>
      <c r="AY10" s="34">
        <v>0.32869999999999999</v>
      </c>
      <c r="AZ10" s="34">
        <v>0.3115</v>
      </c>
      <c r="BA10" s="34">
        <v>0.31040000000000001</v>
      </c>
      <c r="BB10" s="33">
        <v>0.31</v>
      </c>
      <c r="BC10" s="33">
        <v>0.34</v>
      </c>
      <c r="BD10" s="91">
        <v>22.13</v>
      </c>
      <c r="BE10" s="91">
        <v>20.52</v>
      </c>
      <c r="BF10" s="30">
        <v>34.950000000000003</v>
      </c>
      <c r="BG10" s="30">
        <v>30.96</v>
      </c>
      <c r="BH10" s="34">
        <v>0.36499999999999999</v>
      </c>
      <c r="BI10" s="34">
        <v>0.34939999999999999</v>
      </c>
      <c r="BJ10" s="34">
        <v>0.2387</v>
      </c>
      <c r="BK10" s="34">
        <v>0.26169999999999999</v>
      </c>
    </row>
    <row r="11" spans="1:63" ht="15" customHeight="1" x14ac:dyDescent="0.25">
      <c r="A11" s="11" t="s">
        <v>130</v>
      </c>
      <c r="B11" s="34">
        <v>0.93979999999999997</v>
      </c>
      <c r="C11" s="34">
        <v>1.0589</v>
      </c>
      <c r="D11" s="61">
        <v>0.63</v>
      </c>
      <c r="E11" s="33">
        <v>0.78</v>
      </c>
      <c r="F11" s="34">
        <v>0.97499999999999998</v>
      </c>
      <c r="G11" s="34">
        <v>1.0114000000000001</v>
      </c>
      <c r="H11" s="34">
        <v>0.69650000000000001</v>
      </c>
      <c r="I11" s="34">
        <v>0.74399999999999999</v>
      </c>
      <c r="J11" s="91">
        <v>0.67</v>
      </c>
      <c r="K11" s="91">
        <v>0.75</v>
      </c>
      <c r="L11" s="34">
        <v>0.64690000000000003</v>
      </c>
      <c r="M11" s="34">
        <v>0.71389999999999998</v>
      </c>
      <c r="N11" s="34">
        <v>-0.45569999999999999</v>
      </c>
      <c r="O11" s="34">
        <v>1.1154999999999999</v>
      </c>
      <c r="P11" s="33">
        <v>0.91</v>
      </c>
      <c r="Q11" s="33">
        <v>1.02</v>
      </c>
      <c r="R11" s="33">
        <v>0.73</v>
      </c>
      <c r="S11" s="33">
        <v>0.71</v>
      </c>
      <c r="T11" s="35">
        <v>0.75339999999999996</v>
      </c>
      <c r="U11" s="35">
        <v>0.7641</v>
      </c>
      <c r="V11" s="34">
        <v>0.80269999999999997</v>
      </c>
      <c r="W11" s="34">
        <v>0.85840000000000005</v>
      </c>
      <c r="X11" s="33">
        <v>0.7</v>
      </c>
      <c r="Y11" s="33">
        <v>0.76</v>
      </c>
      <c r="Z11" s="34">
        <v>0.90790000000000004</v>
      </c>
      <c r="AA11" s="34">
        <v>0.93889999999999996</v>
      </c>
      <c r="AB11" s="33">
        <v>0.71</v>
      </c>
      <c r="AC11" s="33">
        <v>0.76</v>
      </c>
      <c r="AD11" s="33">
        <v>0.7</v>
      </c>
      <c r="AE11" s="33">
        <v>0.66</v>
      </c>
      <c r="AF11" s="33">
        <v>0.65</v>
      </c>
      <c r="AG11" s="72">
        <v>0.69899999999999995</v>
      </c>
      <c r="AH11" s="33">
        <v>0.65</v>
      </c>
      <c r="AI11" s="33">
        <v>0.85</v>
      </c>
      <c r="AJ11" s="86">
        <v>0.62</v>
      </c>
      <c r="AK11" s="86">
        <v>0.68</v>
      </c>
      <c r="AL11" s="33"/>
      <c r="AM11" s="34">
        <v>1.016</v>
      </c>
      <c r="AN11" s="33">
        <v>0.65</v>
      </c>
      <c r="AO11" s="33">
        <v>0.61</v>
      </c>
      <c r="AP11" s="35">
        <v>0.78280000000000005</v>
      </c>
      <c r="AQ11" s="35">
        <v>0.84919999999999995</v>
      </c>
      <c r="AR11" s="61">
        <v>0.76</v>
      </c>
      <c r="AS11" s="35">
        <v>0.77680000000000005</v>
      </c>
      <c r="AT11" s="35">
        <v>0.83499999999999996</v>
      </c>
      <c r="AU11" s="35">
        <v>0.85399999999999998</v>
      </c>
      <c r="AV11" s="34">
        <v>0.91390000000000005</v>
      </c>
      <c r="AW11" s="34">
        <v>0.89219999999999999</v>
      </c>
      <c r="AX11" s="34">
        <v>0.76180000000000003</v>
      </c>
      <c r="AY11" s="34">
        <v>0.76180000000000003</v>
      </c>
      <c r="AZ11" s="34">
        <v>1.0458000000000001</v>
      </c>
      <c r="BA11" s="34">
        <v>0.93979999999999997</v>
      </c>
      <c r="BB11" s="33">
        <v>0.78</v>
      </c>
      <c r="BC11" s="33">
        <v>0.77</v>
      </c>
      <c r="BD11" s="91">
        <v>96.75</v>
      </c>
      <c r="BE11" s="91">
        <v>99.48</v>
      </c>
      <c r="BF11" s="30">
        <v>107.33</v>
      </c>
      <c r="BG11" s="30">
        <v>111.18</v>
      </c>
      <c r="BH11" s="34">
        <v>0.91759999999999997</v>
      </c>
      <c r="BI11" s="34">
        <v>0.97750000000000004</v>
      </c>
      <c r="BJ11" s="34">
        <v>0.77569999999999995</v>
      </c>
      <c r="BK11" s="34">
        <v>0.74880000000000002</v>
      </c>
    </row>
    <row r="12" spans="1:63" ht="15" customHeight="1" x14ac:dyDescent="0.25">
      <c r="A12" s="11" t="s">
        <v>271</v>
      </c>
      <c r="B12" s="34">
        <v>0.19839999999999999</v>
      </c>
      <c r="C12" s="34">
        <v>0.1726</v>
      </c>
      <c r="D12" s="61">
        <v>0.55000000000000004</v>
      </c>
      <c r="E12" s="33">
        <v>0.74</v>
      </c>
      <c r="F12" s="34">
        <v>0.1166</v>
      </c>
      <c r="G12" s="34">
        <v>0.23449999999999999</v>
      </c>
      <c r="H12" s="34">
        <v>0.13189999999999999</v>
      </c>
      <c r="I12" s="34">
        <v>0.21</v>
      </c>
      <c r="J12" s="91">
        <v>0.98</v>
      </c>
      <c r="K12" s="91">
        <v>0.96</v>
      </c>
      <c r="L12" s="34">
        <v>0.21429999999999999</v>
      </c>
      <c r="M12" s="34">
        <v>0.90790000000000004</v>
      </c>
      <c r="N12" s="34">
        <v>2.6599999999999999E-2</v>
      </c>
      <c r="O12" s="34">
        <v>4.8599999999999997E-2</v>
      </c>
      <c r="P12" s="33">
        <v>0.37</v>
      </c>
      <c r="Q12" s="33">
        <v>0.39</v>
      </c>
      <c r="R12" s="33">
        <v>0.13</v>
      </c>
      <c r="S12" s="33">
        <v>0.38</v>
      </c>
      <c r="T12" s="35">
        <v>4.2799999999999998E-2</v>
      </c>
      <c r="U12" s="35">
        <v>4.2799999999999998E-2</v>
      </c>
      <c r="V12" s="34">
        <v>0.1197</v>
      </c>
      <c r="W12" s="34">
        <v>0.13589999999999999</v>
      </c>
      <c r="X12" s="33">
        <v>0.03</v>
      </c>
      <c r="Y12" s="33">
        <v>0.12</v>
      </c>
      <c r="Z12" s="34">
        <v>0.1105</v>
      </c>
      <c r="AA12" s="34">
        <v>0.17610000000000001</v>
      </c>
      <c r="AB12" s="33">
        <v>0.02</v>
      </c>
      <c r="AC12" s="33">
        <v>0.28000000000000003</v>
      </c>
      <c r="AD12" s="33">
        <v>0.75</v>
      </c>
      <c r="AE12" s="33">
        <v>0.86</v>
      </c>
      <c r="AF12" s="72">
        <v>0.126</v>
      </c>
      <c r="AG12" s="33">
        <v>0.2</v>
      </c>
      <c r="AH12" s="33">
        <v>0.96</v>
      </c>
      <c r="AI12" s="33">
        <v>1</v>
      </c>
      <c r="AJ12" s="86">
        <v>0.86</v>
      </c>
      <c r="AK12" s="86">
        <v>0.93</v>
      </c>
      <c r="AL12" s="33"/>
      <c r="AM12" s="34"/>
      <c r="AN12" s="33">
        <v>0.19</v>
      </c>
      <c r="AO12" s="33">
        <v>0.19</v>
      </c>
      <c r="AP12" s="61">
        <v>6.6600000000000006E-2</v>
      </c>
      <c r="AQ12" s="61">
        <v>8.1000000000000003E-2</v>
      </c>
      <c r="AR12" s="150">
        <v>5.5E-2</v>
      </c>
      <c r="AS12" s="61">
        <v>0.2</v>
      </c>
      <c r="AT12" s="117">
        <v>0.13</v>
      </c>
      <c r="AU12" s="35">
        <v>0.245</v>
      </c>
      <c r="AV12" s="34">
        <v>7.9699999999999993E-2</v>
      </c>
      <c r="AW12" s="34">
        <v>0.51339999999999997</v>
      </c>
      <c r="AX12" s="34">
        <v>6.9099999999999995E-2</v>
      </c>
      <c r="AY12" s="34">
        <v>0.1583</v>
      </c>
      <c r="AZ12" s="34">
        <v>7.6100000000000001E-2</v>
      </c>
      <c r="BA12" s="34">
        <v>1.0096000000000001</v>
      </c>
      <c r="BB12" s="33">
        <v>7.0000000000000007E-2</v>
      </c>
      <c r="BC12" s="33">
        <v>0.1</v>
      </c>
      <c r="BE12" s="91"/>
      <c r="BF12" s="30">
        <v>50.43</v>
      </c>
      <c r="BG12" s="30">
        <v>50.43</v>
      </c>
      <c r="BH12" s="34">
        <v>0.1295</v>
      </c>
      <c r="BI12" s="34">
        <v>0.37580000000000002</v>
      </c>
      <c r="BJ12" s="34">
        <v>9.9000000000000005E-2</v>
      </c>
      <c r="BK12" s="34">
        <v>0.17879999999999999</v>
      </c>
    </row>
    <row r="13" spans="1:63" ht="15" customHeight="1" x14ac:dyDescent="0.25">
      <c r="A13" s="11" t="s">
        <v>131</v>
      </c>
      <c r="B13" s="34">
        <v>1.6365000000000001</v>
      </c>
      <c r="C13" s="34">
        <v>1.8482000000000001</v>
      </c>
      <c r="D13" s="61">
        <v>1.2</v>
      </c>
      <c r="E13" s="33">
        <v>1.36</v>
      </c>
      <c r="F13" s="34">
        <v>1.0072000000000001</v>
      </c>
      <c r="G13" s="34">
        <v>1.0309999999999999</v>
      </c>
      <c r="H13" s="34">
        <v>0.98860000000000003</v>
      </c>
      <c r="I13" s="34">
        <v>1.0003</v>
      </c>
      <c r="J13" s="91">
        <v>1.06</v>
      </c>
      <c r="K13" s="91">
        <v>1.1100000000000001</v>
      </c>
      <c r="L13" s="34">
        <v>1.0586</v>
      </c>
      <c r="M13" s="34">
        <v>1.1301000000000001</v>
      </c>
      <c r="N13" s="34">
        <v>-0.1129</v>
      </c>
      <c r="O13" s="34">
        <v>1.4409000000000001</v>
      </c>
      <c r="P13" s="33">
        <v>1.49</v>
      </c>
      <c r="Q13" s="33">
        <v>1.55</v>
      </c>
      <c r="R13" s="33">
        <v>1.0900000000000001</v>
      </c>
      <c r="S13" s="33">
        <v>1.1100000000000001</v>
      </c>
      <c r="T13" s="35">
        <v>1.1618999999999999</v>
      </c>
      <c r="U13" s="35">
        <v>1.1365000000000001</v>
      </c>
      <c r="V13" s="34">
        <v>1.0644</v>
      </c>
      <c r="W13" s="34">
        <v>1.1072</v>
      </c>
      <c r="X13" s="34">
        <v>1.05</v>
      </c>
      <c r="Y13" s="34">
        <v>1.1100000000000001</v>
      </c>
      <c r="Z13" s="34">
        <v>1.1656</v>
      </c>
      <c r="AA13" s="34">
        <v>1.1603000000000001</v>
      </c>
      <c r="AB13" s="33">
        <v>1.1100000000000001</v>
      </c>
      <c r="AC13" s="33">
        <v>1.2</v>
      </c>
      <c r="AD13" s="33">
        <v>1.22</v>
      </c>
      <c r="AE13" s="33">
        <v>1.18</v>
      </c>
      <c r="AF13" s="33">
        <v>1.17</v>
      </c>
      <c r="AG13" s="33">
        <v>1.19</v>
      </c>
      <c r="AH13" s="33">
        <v>1.25</v>
      </c>
      <c r="AI13" s="33">
        <v>1.39</v>
      </c>
      <c r="AJ13" s="86">
        <v>1.07</v>
      </c>
      <c r="AK13" s="86">
        <v>1.1000000000000001</v>
      </c>
      <c r="AL13" s="33"/>
      <c r="AM13" s="34">
        <v>1.2861</v>
      </c>
      <c r="AN13" s="33">
        <v>2.64</v>
      </c>
      <c r="AO13" s="33">
        <v>2.5299999999999998</v>
      </c>
      <c r="AP13" s="35">
        <v>1.4422999999999999</v>
      </c>
      <c r="AQ13" s="35">
        <v>1.4646999999999999</v>
      </c>
      <c r="AR13" s="61">
        <v>1.1499999999999999</v>
      </c>
      <c r="AS13" s="35">
        <v>1.0849</v>
      </c>
      <c r="AT13" s="117">
        <v>1.17</v>
      </c>
      <c r="AU13" s="35">
        <v>1.175</v>
      </c>
      <c r="AV13" s="34">
        <v>1.3064</v>
      </c>
      <c r="AW13" s="34">
        <v>1.1854</v>
      </c>
      <c r="AX13" s="34">
        <v>1.0296000000000001</v>
      </c>
      <c r="AY13" s="34">
        <v>1.0843</v>
      </c>
      <c r="AZ13" s="34">
        <v>1.3573999999999999</v>
      </c>
      <c r="BA13" s="34">
        <v>1.2502</v>
      </c>
      <c r="BB13" s="33">
        <v>1.0900000000000001</v>
      </c>
      <c r="BC13" s="33">
        <v>1.1200000000000001</v>
      </c>
      <c r="BD13" s="91">
        <v>118.88</v>
      </c>
      <c r="BE13" s="91">
        <v>120.01</v>
      </c>
      <c r="BF13" s="91">
        <v>141.55000000000001</v>
      </c>
      <c r="BG13" s="91">
        <v>141.38</v>
      </c>
      <c r="BH13" s="34">
        <v>1.2826</v>
      </c>
      <c r="BI13" s="34">
        <v>1.327</v>
      </c>
      <c r="BJ13" s="34">
        <v>1.0145</v>
      </c>
      <c r="BK13" s="34">
        <v>1.0105</v>
      </c>
    </row>
    <row r="14" spans="1:63" ht="15" customHeight="1" x14ac:dyDescent="0.25">
      <c r="A14" s="11" t="s">
        <v>272</v>
      </c>
      <c r="B14" s="34">
        <v>5.5800000000000002E-2</v>
      </c>
      <c r="C14" s="34">
        <v>5.6800000000000003E-2</v>
      </c>
      <c r="D14" s="61">
        <v>0.02</v>
      </c>
      <c r="E14" s="33">
        <v>0.05</v>
      </c>
      <c r="F14" s="34">
        <v>1.4999999999999999E-2</v>
      </c>
      <c r="G14" s="34">
        <v>4.4200000000000003E-2</v>
      </c>
      <c r="H14" s="34">
        <v>1.7000000000000001E-2</v>
      </c>
      <c r="I14" s="34">
        <v>6.1100000000000002E-2</v>
      </c>
      <c r="J14" s="91">
        <v>0.02</v>
      </c>
      <c r="K14" s="91">
        <v>0.05</v>
      </c>
      <c r="L14" s="91">
        <v>1.73</v>
      </c>
      <c r="M14" s="91">
        <v>5.37</v>
      </c>
      <c r="N14" s="34">
        <v>7.3800000000000004E-2</v>
      </c>
      <c r="O14" s="34">
        <v>7.6799999999999993E-2</v>
      </c>
      <c r="P14" s="33">
        <v>1.5100000000000001E-2</v>
      </c>
      <c r="Q14" s="33">
        <v>5.3699999999999998E-2</v>
      </c>
      <c r="R14" s="34">
        <v>4.5999999999999999E-3</v>
      </c>
      <c r="S14" s="34">
        <v>1.2500000000000001E-2</v>
      </c>
      <c r="T14" s="35">
        <v>1.5699999999999999E-2</v>
      </c>
      <c r="U14" s="35">
        <v>4.8099999999999997E-2</v>
      </c>
      <c r="V14" s="34">
        <v>1.9099999999999999E-2</v>
      </c>
      <c r="W14" s="34">
        <v>5.5300000000000002E-2</v>
      </c>
      <c r="X14" s="33">
        <v>0.02</v>
      </c>
      <c r="Y14" s="33">
        <v>0.06</v>
      </c>
      <c r="Z14" s="34">
        <v>2.7099999999999999E-2</v>
      </c>
      <c r="AA14" s="34">
        <v>6.5100000000000005E-2</v>
      </c>
      <c r="AB14" s="34">
        <v>6.2399999999999997E-2</v>
      </c>
      <c r="AC14" s="34">
        <v>6.4600000000000005E-2</v>
      </c>
      <c r="AD14" s="34">
        <v>7.1599999999999997E-2</v>
      </c>
      <c r="AE14" s="34">
        <v>7.2099999999999997E-2</v>
      </c>
      <c r="AF14" s="72">
        <v>1.7999999999999999E-2</v>
      </c>
      <c r="AG14" s="72">
        <v>5.0999999999999997E-2</v>
      </c>
      <c r="AH14" s="33">
        <v>1.5100000000000001E-2</v>
      </c>
      <c r="AI14" s="33">
        <v>0.05</v>
      </c>
      <c r="AJ14" s="86">
        <v>0.02</v>
      </c>
      <c r="AK14" s="86">
        <v>0.04</v>
      </c>
      <c r="AL14" s="33"/>
      <c r="AM14" s="33"/>
      <c r="AN14" s="33">
        <v>0.02</v>
      </c>
      <c r="AO14" s="33">
        <v>7.0000000000000007E-2</v>
      </c>
      <c r="AP14" s="35">
        <v>3.2399999999999998E-2</v>
      </c>
      <c r="AQ14" s="35">
        <v>9.3600000000000003E-2</v>
      </c>
      <c r="AR14" s="61">
        <v>0.09</v>
      </c>
      <c r="AS14" s="61">
        <v>0.08</v>
      </c>
      <c r="AT14" s="117">
        <v>0.02</v>
      </c>
      <c r="AU14" s="117">
        <v>0.06</v>
      </c>
      <c r="AV14" s="34">
        <v>1.9599999999999999E-2</v>
      </c>
      <c r="AW14" s="34">
        <v>6.4500000000000002E-2</v>
      </c>
      <c r="AX14" s="34">
        <v>2.5899999999999999E-2</v>
      </c>
      <c r="AY14" s="34">
        <v>6.5000000000000002E-2</v>
      </c>
      <c r="AZ14" s="34">
        <v>2.06E-2</v>
      </c>
      <c r="BA14" s="34">
        <v>6.9099999999999995E-2</v>
      </c>
      <c r="BB14" s="33">
        <v>0.02</v>
      </c>
      <c r="BC14" s="33">
        <v>0.06</v>
      </c>
      <c r="BE14" s="91"/>
      <c r="BF14" s="33">
        <v>1.79</v>
      </c>
      <c r="BG14" s="33">
        <v>6.09</v>
      </c>
      <c r="BH14" s="34">
        <v>1.8800000000000001E-2</v>
      </c>
      <c r="BI14" s="34">
        <v>5.57E-2</v>
      </c>
      <c r="BJ14" s="34">
        <v>7.6200000000000004E-2</v>
      </c>
      <c r="BK14" s="34">
        <v>7.3200000000000001E-2</v>
      </c>
    </row>
    <row r="15" spans="1:63" ht="15" customHeight="1" x14ac:dyDescent="0.25">
      <c r="A15" s="11" t="s">
        <v>132</v>
      </c>
      <c r="B15" s="30">
        <v>2.69</v>
      </c>
      <c r="C15" s="91">
        <v>1.03</v>
      </c>
      <c r="D15" s="36">
        <v>2.39</v>
      </c>
      <c r="E15" s="36">
        <v>0.83</v>
      </c>
      <c r="F15" s="91">
        <v>10.51</v>
      </c>
      <c r="G15" s="91">
        <v>2.2400000000000002</v>
      </c>
      <c r="H15" s="30">
        <v>7.8</v>
      </c>
      <c r="I15" s="30">
        <v>2.6</v>
      </c>
      <c r="J15" s="91">
        <v>2.2599999999999998</v>
      </c>
      <c r="K15" s="91">
        <v>0.85</v>
      </c>
      <c r="L15" s="91">
        <v>3.65</v>
      </c>
      <c r="M15" s="91">
        <v>3.65</v>
      </c>
      <c r="N15" s="91">
        <v>13.38</v>
      </c>
      <c r="O15" s="91">
        <v>13.38</v>
      </c>
      <c r="P15" s="30">
        <v>4.76</v>
      </c>
      <c r="Q15" s="30">
        <v>1.64</v>
      </c>
      <c r="R15" s="30">
        <v>6.28</v>
      </c>
      <c r="S15" s="91">
        <v>2.2400000000000002</v>
      </c>
      <c r="T15" s="91">
        <v>1.91</v>
      </c>
      <c r="U15" s="91">
        <v>1.91</v>
      </c>
      <c r="V15" s="91">
        <v>6.5</v>
      </c>
      <c r="W15" s="91">
        <v>2.2400000000000002</v>
      </c>
      <c r="X15" s="30">
        <v>8.85</v>
      </c>
      <c r="Y15" s="30">
        <v>3.4</v>
      </c>
      <c r="Z15" s="30"/>
      <c r="AA15" s="91">
        <v>2.2599999999999998</v>
      </c>
      <c r="AB15" s="30">
        <v>4.7699999999999996</v>
      </c>
      <c r="AC15" s="30">
        <v>2.11</v>
      </c>
      <c r="AD15" s="30">
        <v>6.06</v>
      </c>
      <c r="AE15" s="30">
        <v>2.06</v>
      </c>
      <c r="AF15" s="91">
        <v>7.8</v>
      </c>
      <c r="AG15" s="91">
        <v>3.25</v>
      </c>
      <c r="AH15" s="86">
        <v>2.29</v>
      </c>
      <c r="AI15" s="86">
        <v>0.83</v>
      </c>
      <c r="AJ15" s="121" t="s">
        <v>319</v>
      </c>
      <c r="AK15" s="121" t="s">
        <v>321</v>
      </c>
      <c r="AL15" s="30"/>
      <c r="AM15" s="30">
        <v>2.87</v>
      </c>
      <c r="AN15" s="30">
        <v>11.83</v>
      </c>
      <c r="AO15" s="30">
        <v>5.38</v>
      </c>
      <c r="AP15" s="91">
        <v>7.41</v>
      </c>
      <c r="AQ15" s="91">
        <v>2.36</v>
      </c>
      <c r="AR15" s="36">
        <v>8.75</v>
      </c>
      <c r="AS15" s="36">
        <v>2.64</v>
      </c>
      <c r="AT15" s="91">
        <v>3.62</v>
      </c>
      <c r="AU15" s="91">
        <v>3.62</v>
      </c>
      <c r="AV15" s="30">
        <v>8.23</v>
      </c>
      <c r="AW15" s="30">
        <v>2.4300000000000002</v>
      </c>
      <c r="AX15" s="34">
        <v>19.0228</v>
      </c>
      <c r="AY15" s="34">
        <v>7.3151999999999999</v>
      </c>
      <c r="AZ15" s="34">
        <v>2.4763999999999999</v>
      </c>
      <c r="BA15" s="34">
        <v>0.86309999999999998</v>
      </c>
      <c r="BB15" s="30">
        <v>6.08</v>
      </c>
      <c r="BC15" s="30">
        <v>2.44</v>
      </c>
      <c r="BD15" s="91">
        <v>6.21</v>
      </c>
      <c r="BE15" s="91">
        <v>2.02</v>
      </c>
      <c r="BF15" s="30">
        <v>7.96</v>
      </c>
      <c r="BG15" s="30">
        <v>2.4900000000000002</v>
      </c>
      <c r="BH15" s="30">
        <v>9.92</v>
      </c>
      <c r="BI15" s="30">
        <v>3.3</v>
      </c>
      <c r="BJ15" s="91">
        <v>1.63</v>
      </c>
      <c r="BK15" s="91">
        <v>2.2799999999999998</v>
      </c>
    </row>
    <row r="16" spans="1:63" x14ac:dyDescent="0.25">
      <c r="A16" s="11" t="s">
        <v>133</v>
      </c>
      <c r="B16" s="30">
        <v>-0.83</v>
      </c>
      <c r="C16" s="91">
        <v>-1.1399999999999999</v>
      </c>
      <c r="D16" s="36">
        <v>-0.26</v>
      </c>
      <c r="E16" s="36">
        <v>-0.44</v>
      </c>
      <c r="F16" s="91">
        <v>0.03</v>
      </c>
      <c r="G16" s="91">
        <v>-0.01</v>
      </c>
      <c r="H16" s="30">
        <v>0</v>
      </c>
      <c r="I16" s="30">
        <v>0</v>
      </c>
      <c r="J16" s="36">
        <v>-0.08</v>
      </c>
      <c r="K16" s="91">
        <v>-0.13</v>
      </c>
      <c r="L16" s="38">
        <v>-0.09</v>
      </c>
      <c r="M16" s="91">
        <v>-0.12</v>
      </c>
      <c r="N16" s="34">
        <v>1.4354</v>
      </c>
      <c r="O16" s="34">
        <v>-6.1699999999999998E-2</v>
      </c>
      <c r="P16" s="30">
        <v>-0.56999999999999995</v>
      </c>
      <c r="Q16" s="30">
        <v>-0.6</v>
      </c>
      <c r="R16" s="30">
        <v>-7.0000000000000007E-2</v>
      </c>
      <c r="S16" s="91">
        <v>-0.11</v>
      </c>
      <c r="T16" s="36">
        <v>-0.28000000000000003</v>
      </c>
      <c r="U16" s="36">
        <v>-0.21</v>
      </c>
      <c r="V16" s="91">
        <v>-0.05</v>
      </c>
      <c r="W16" s="91">
        <v>-0.1</v>
      </c>
      <c r="X16" s="91">
        <v>-0.08</v>
      </c>
      <c r="Y16" s="91">
        <v>-0.1</v>
      </c>
      <c r="Z16" s="34">
        <v>-0.1706</v>
      </c>
      <c r="AA16" s="91">
        <v>-0.17280000000000001</v>
      </c>
      <c r="AB16" s="91">
        <v>-0.28000000000000003</v>
      </c>
      <c r="AC16" s="91">
        <v>-0.25</v>
      </c>
      <c r="AD16" s="30">
        <v>-0.26</v>
      </c>
      <c r="AE16" s="30">
        <v>-0.16</v>
      </c>
      <c r="AF16" s="91">
        <v>-0.37</v>
      </c>
      <c r="AG16" s="91">
        <v>-0.27</v>
      </c>
      <c r="AH16" s="73">
        <v>-0.32</v>
      </c>
      <c r="AI16" s="73">
        <v>-0.46</v>
      </c>
      <c r="AJ16" s="121" t="s">
        <v>322</v>
      </c>
      <c r="AK16" s="121" t="s">
        <v>324</v>
      </c>
      <c r="AL16" s="30"/>
      <c r="AM16" s="30">
        <v>-0.28999999999999998</v>
      </c>
      <c r="AN16" s="30">
        <v>-1.98</v>
      </c>
      <c r="AO16" s="30">
        <v>-1.37</v>
      </c>
      <c r="AP16" s="91">
        <v>-0.42</v>
      </c>
      <c r="AQ16" s="91">
        <v>-0.52</v>
      </c>
      <c r="AR16" s="36">
        <v>-0.09</v>
      </c>
      <c r="AS16" s="36">
        <v>-0.1</v>
      </c>
      <c r="AT16" s="91">
        <v>-0.17</v>
      </c>
      <c r="AU16" s="91">
        <v>-0.16</v>
      </c>
      <c r="AV16" s="30">
        <v>-0.22</v>
      </c>
      <c r="AW16" s="30">
        <v>-0.16</v>
      </c>
      <c r="AX16" s="34">
        <v>-3.8899999999999997E-2</v>
      </c>
      <c r="AY16" s="34">
        <v>-3.4000000000000002E-2</v>
      </c>
      <c r="AZ16" s="34">
        <v>-0.3609</v>
      </c>
      <c r="BA16" s="34">
        <v>-0.25659999999999999</v>
      </c>
      <c r="BB16" s="30">
        <v>-0.16</v>
      </c>
      <c r="BC16" s="30">
        <v>-0.14000000000000001</v>
      </c>
      <c r="BD16" s="91">
        <v>-0.18</v>
      </c>
      <c r="BE16" s="91">
        <v>-0.2</v>
      </c>
      <c r="BF16" s="30">
        <v>-0.42</v>
      </c>
      <c r="BG16" s="30">
        <v>-0.42</v>
      </c>
      <c r="BH16" s="34">
        <v>-0.255</v>
      </c>
      <c r="BI16" s="34">
        <v>-0.31830000000000003</v>
      </c>
      <c r="BJ16" s="91">
        <v>-0.03</v>
      </c>
      <c r="BK16" s="91">
        <v>-0.06</v>
      </c>
    </row>
    <row r="17" spans="1:63" x14ac:dyDescent="0.25">
      <c r="A17" s="11" t="s">
        <v>134</v>
      </c>
      <c r="B17" s="34">
        <v>-0.76139999999999997</v>
      </c>
      <c r="C17" s="34">
        <v>-1.0723</v>
      </c>
      <c r="D17" s="61">
        <v>-0.2</v>
      </c>
      <c r="E17" s="33">
        <v>-0.38</v>
      </c>
      <c r="F17" s="34">
        <v>0.1918</v>
      </c>
      <c r="G17" s="34">
        <v>0.11849999999999999</v>
      </c>
      <c r="H17" s="34">
        <v>0.17430000000000001</v>
      </c>
      <c r="I17" s="34">
        <v>0.19700000000000001</v>
      </c>
      <c r="J17" s="91">
        <v>-0.03</v>
      </c>
      <c r="K17" s="91">
        <v>-7.0000000000000007E-2</v>
      </c>
      <c r="L17" s="34">
        <v>0.23100000000000001</v>
      </c>
      <c r="M17" s="34">
        <v>0.1736</v>
      </c>
      <c r="N17" s="34">
        <v>2.0884999999999998</v>
      </c>
      <c r="O17" s="34">
        <v>0.70640000000000003</v>
      </c>
      <c r="P17" s="33">
        <v>-0.46</v>
      </c>
      <c r="Q17" s="33">
        <v>-0.51</v>
      </c>
      <c r="R17" s="33">
        <v>0.06</v>
      </c>
      <c r="S17" s="33">
        <v>0.03</v>
      </c>
      <c r="T17" s="35">
        <v>-0.1782</v>
      </c>
      <c r="U17" s="35">
        <v>-0.1066</v>
      </c>
      <c r="V17" s="34">
        <v>9.7699999999999995E-2</v>
      </c>
      <c r="W17" s="34">
        <v>5.3199999999999997E-2</v>
      </c>
      <c r="X17" s="33">
        <v>0.08</v>
      </c>
      <c r="Y17" s="33">
        <v>0.08</v>
      </c>
      <c r="Z17" s="34">
        <v>1.2699999999999999E-2</v>
      </c>
      <c r="AA17" s="34">
        <v>-2.35E-2</v>
      </c>
      <c r="AB17" s="61">
        <v>-0.16</v>
      </c>
      <c r="AC17" s="33">
        <v>-0.14000000000000001</v>
      </c>
      <c r="AD17" s="33">
        <v>-0.13</v>
      </c>
      <c r="AE17" s="33">
        <v>-0.03</v>
      </c>
      <c r="AF17" s="72">
        <v>7.3999999999999996E-2</v>
      </c>
      <c r="AG17" s="72">
        <v>3.9E-2</v>
      </c>
      <c r="AH17" s="86">
        <v>-0.28000000000000003</v>
      </c>
      <c r="AI17" s="33">
        <v>-0.41</v>
      </c>
      <c r="AJ17" s="86">
        <v>0.08</v>
      </c>
      <c r="AK17" s="86">
        <v>-0.02</v>
      </c>
      <c r="AL17" s="33"/>
      <c r="AM17" s="33"/>
      <c r="AN17" s="33">
        <v>-1.75</v>
      </c>
      <c r="AO17" s="33">
        <v>-1.02</v>
      </c>
      <c r="AP17" s="35">
        <v>-5.7299999999999997E-2</v>
      </c>
      <c r="AQ17" s="35">
        <v>-0.1807</v>
      </c>
      <c r="AR17" s="61">
        <v>0.08</v>
      </c>
      <c r="AS17" s="35">
        <v>0.12570000000000001</v>
      </c>
      <c r="AT17" s="35">
        <v>2.1000000000000001E-2</v>
      </c>
      <c r="AU17" s="35">
        <v>4.3999999999999997E-2</v>
      </c>
      <c r="AV17" s="34">
        <v>-9.5500000000000002E-2</v>
      </c>
      <c r="AW17" s="34">
        <v>-2.1600000000000001E-2</v>
      </c>
      <c r="AX17" s="34">
        <v>0.46110000000000001</v>
      </c>
      <c r="AY17" s="34">
        <v>0.38059999999999999</v>
      </c>
      <c r="AZ17" s="34">
        <v>-0.3216</v>
      </c>
      <c r="BA17" s="34">
        <v>-0.20230000000000001</v>
      </c>
      <c r="BB17" s="33">
        <v>0.02</v>
      </c>
      <c r="BC17" s="33">
        <v>0.06</v>
      </c>
      <c r="BD17" s="91">
        <v>1.1399999999999999</v>
      </c>
      <c r="BE17" s="91">
        <v>-2.4900000000000002</v>
      </c>
      <c r="BF17" s="30">
        <v>-0.24</v>
      </c>
      <c r="BG17" s="30">
        <v>-23.45</v>
      </c>
      <c r="BH17" s="34">
        <v>-8.3400000000000002E-2</v>
      </c>
      <c r="BI17" s="34">
        <v>-0.13850000000000001</v>
      </c>
      <c r="BJ17" s="34">
        <v>7.9000000000000001E-2</v>
      </c>
      <c r="BK17" s="34">
        <v>9.7600000000000006E-2</v>
      </c>
    </row>
    <row r="18" spans="1:63" x14ac:dyDescent="0.25">
      <c r="A18" s="11" t="s">
        <v>135</v>
      </c>
      <c r="B18" s="30">
        <v>0.34</v>
      </c>
      <c r="C18" s="91">
        <v>0.34</v>
      </c>
      <c r="D18" s="36">
        <v>0.28999999999999998</v>
      </c>
      <c r="E18" s="36">
        <v>0.28999999999999998</v>
      </c>
      <c r="F18" s="91">
        <v>0.78</v>
      </c>
      <c r="G18" s="91">
        <v>0.78</v>
      </c>
      <c r="H18" s="30">
        <v>0.18</v>
      </c>
      <c r="I18" s="30">
        <v>0.18</v>
      </c>
      <c r="J18" s="91">
        <v>0.37</v>
      </c>
      <c r="K18" s="91">
        <v>0.37</v>
      </c>
      <c r="L18" s="91">
        <v>0.19</v>
      </c>
      <c r="M18" s="30">
        <v>0.19</v>
      </c>
      <c r="N18" s="91">
        <v>0.37</v>
      </c>
      <c r="O18" s="91">
        <v>0.34</v>
      </c>
      <c r="P18" s="30">
        <v>1.44</v>
      </c>
      <c r="Q18" s="30">
        <v>1.44</v>
      </c>
      <c r="R18" s="30">
        <v>0.08</v>
      </c>
      <c r="S18" s="91">
        <v>0.08</v>
      </c>
      <c r="T18" s="34">
        <v>0.34429999999999999</v>
      </c>
      <c r="U18" s="34">
        <v>0.34429999999999999</v>
      </c>
      <c r="V18" s="91">
        <v>0.16</v>
      </c>
      <c r="W18" s="91">
        <v>0.16</v>
      </c>
      <c r="X18" s="30">
        <v>0.14000000000000001</v>
      </c>
      <c r="Y18" s="30">
        <v>0.14000000000000001</v>
      </c>
      <c r="Z18" s="30"/>
      <c r="AA18" s="91">
        <v>0.32</v>
      </c>
      <c r="AB18" s="91">
        <v>0.11</v>
      </c>
      <c r="AC18" s="91">
        <v>0.11</v>
      </c>
      <c r="AD18" s="30">
        <v>0.26</v>
      </c>
      <c r="AE18" s="30">
        <v>0.26</v>
      </c>
      <c r="AF18" s="91">
        <v>0.09</v>
      </c>
      <c r="AG18" s="91">
        <v>0.09</v>
      </c>
      <c r="AH18" s="86">
        <v>0.41</v>
      </c>
      <c r="AI18" s="86">
        <v>0.41</v>
      </c>
      <c r="AJ18" s="121" t="s">
        <v>323</v>
      </c>
      <c r="AK18" s="121" t="s">
        <v>325</v>
      </c>
      <c r="AL18" s="30"/>
      <c r="AM18" s="30"/>
      <c r="AN18" s="30">
        <v>0.33</v>
      </c>
      <c r="AO18" s="30">
        <v>0.33</v>
      </c>
      <c r="AP18" s="91">
        <v>0.2</v>
      </c>
      <c r="AQ18" s="91">
        <v>0.2</v>
      </c>
      <c r="AR18" s="36">
        <v>0.32</v>
      </c>
      <c r="AS18" s="36">
        <v>0.32</v>
      </c>
      <c r="AT18" s="91">
        <v>0.28999999999999998</v>
      </c>
      <c r="AU18" s="91">
        <v>0.28999999999999998</v>
      </c>
      <c r="AV18" s="30">
        <v>0.12</v>
      </c>
      <c r="AW18" s="30">
        <v>0.12</v>
      </c>
      <c r="AX18" s="34">
        <v>3.4299999999999997E-2</v>
      </c>
      <c r="AY18" s="34">
        <v>3.4299999999999997E-2</v>
      </c>
      <c r="AZ18" s="34">
        <v>0.5212</v>
      </c>
      <c r="BA18" s="34">
        <v>0.5212</v>
      </c>
      <c r="BB18" s="30">
        <v>0.22</v>
      </c>
      <c r="BC18" s="30">
        <v>0.22</v>
      </c>
      <c r="BD18" s="91">
        <v>0.35</v>
      </c>
      <c r="BE18" s="91">
        <v>0.35</v>
      </c>
      <c r="BF18" s="30">
        <v>0.2</v>
      </c>
      <c r="BG18" s="30">
        <v>0.2</v>
      </c>
      <c r="BH18" s="30">
        <v>0.15</v>
      </c>
      <c r="BI18" s="30">
        <v>0.15</v>
      </c>
      <c r="BJ18" s="91">
        <v>0.4</v>
      </c>
      <c r="BK18" s="91">
        <v>0.4</v>
      </c>
    </row>
    <row r="19" spans="1:63" x14ac:dyDescent="0.25">
      <c r="A19" s="11" t="s">
        <v>136</v>
      </c>
      <c r="B19" s="34">
        <v>-0.58189999999999997</v>
      </c>
      <c r="C19" s="34">
        <v>-0.76700000000000002</v>
      </c>
      <c r="D19" s="61">
        <v>-0.17</v>
      </c>
      <c r="E19" s="33">
        <v>-0.31</v>
      </c>
      <c r="F19" s="34">
        <v>0.26050000000000001</v>
      </c>
      <c r="G19" s="34">
        <v>0.1123</v>
      </c>
      <c r="H19" s="34">
        <v>0.1527</v>
      </c>
      <c r="I19" s="34">
        <v>0.1918</v>
      </c>
      <c r="J19" s="91">
        <v>0</v>
      </c>
      <c r="K19" s="91">
        <v>-0.03</v>
      </c>
      <c r="L19" s="34">
        <v>1.89E-2</v>
      </c>
      <c r="M19" s="34">
        <v>2.4400000000000002E-2</v>
      </c>
      <c r="N19" s="34">
        <v>2.2023999999999999</v>
      </c>
      <c r="O19" s="34">
        <v>1.1475</v>
      </c>
      <c r="P19" s="33">
        <v>-0.47</v>
      </c>
      <c r="Q19" s="33">
        <v>-0.48</v>
      </c>
      <c r="R19" s="33">
        <v>7.0000000000000007E-2</v>
      </c>
      <c r="S19" s="33">
        <v>0.05</v>
      </c>
      <c r="T19" s="35">
        <v>-0.1237</v>
      </c>
      <c r="U19" s="35">
        <v>-6.8400000000000002E-2</v>
      </c>
      <c r="V19" s="34">
        <v>0.1007</v>
      </c>
      <c r="W19" s="34">
        <v>6.5600000000000006E-2</v>
      </c>
      <c r="X19" s="33">
        <v>0.1</v>
      </c>
      <c r="Y19" s="33">
        <v>0.1</v>
      </c>
      <c r="Z19" s="34">
        <v>5.4100000000000002E-2</v>
      </c>
      <c r="AA19" s="34">
        <v>2.0899999999999998E-2</v>
      </c>
      <c r="AB19" s="33">
        <v>-0.1</v>
      </c>
      <c r="AC19" s="33">
        <v>-0.1</v>
      </c>
      <c r="AD19" s="33">
        <v>-0.09</v>
      </c>
      <c r="AE19" s="33">
        <v>0.02</v>
      </c>
      <c r="AF19" s="33">
        <v>-0.06</v>
      </c>
      <c r="AG19" s="34">
        <v>-1E-3</v>
      </c>
      <c r="AH19" s="88">
        <v>-0.25</v>
      </c>
      <c r="AI19" s="33">
        <v>-0.36</v>
      </c>
      <c r="AJ19" s="86">
        <v>-0.08</v>
      </c>
      <c r="AK19" s="86">
        <v>-0.1</v>
      </c>
      <c r="AL19" s="33"/>
      <c r="AM19" s="33"/>
      <c r="AN19" s="33">
        <v>-1.32</v>
      </c>
      <c r="AO19" s="33">
        <v>-0.87</v>
      </c>
      <c r="AP19" s="35">
        <v>-0.28889999999999999</v>
      </c>
      <c r="AQ19" s="41">
        <v>-0.33360000000000001</v>
      </c>
      <c r="AR19" s="61">
        <v>0.04</v>
      </c>
      <c r="AS19" s="61">
        <v>0.05</v>
      </c>
      <c r="AT19" s="35">
        <v>4.4999999999999998E-2</v>
      </c>
      <c r="AU19" s="35">
        <v>7.8E-2</v>
      </c>
      <c r="AV19" s="34">
        <v>-3.2099999999999997E-2</v>
      </c>
      <c r="AW19" s="34">
        <v>3.6600000000000001E-2</v>
      </c>
      <c r="AX19" s="34">
        <v>0.41549999999999998</v>
      </c>
      <c r="AY19" s="34">
        <v>0.40050000000000002</v>
      </c>
      <c r="AZ19" s="34">
        <v>-0.22620000000000001</v>
      </c>
      <c r="BA19" s="34">
        <v>-0.13070000000000001</v>
      </c>
      <c r="BB19" s="33">
        <v>0.03</v>
      </c>
      <c r="BC19" s="33">
        <v>7.0000000000000007E-2</v>
      </c>
      <c r="BD19" s="91">
        <v>6.87</v>
      </c>
      <c r="BE19" s="91">
        <v>3.23</v>
      </c>
      <c r="BF19" s="30">
        <v>-24.76</v>
      </c>
      <c r="BG19" s="30">
        <v>-21.6</v>
      </c>
      <c r="BH19" s="34">
        <v>-7.2800000000000004E-2</v>
      </c>
      <c r="BI19" s="34">
        <v>-0.1273</v>
      </c>
      <c r="BJ19" s="34">
        <v>6.7100000000000007E-2</v>
      </c>
      <c r="BK19" s="34">
        <v>7.9600000000000004E-2</v>
      </c>
    </row>
    <row r="20" spans="1:63" x14ac:dyDescent="0.25">
      <c r="A20" s="11" t="s">
        <v>137</v>
      </c>
      <c r="B20" s="34">
        <v>-0.33800000000000002</v>
      </c>
      <c r="C20" s="34">
        <v>-1.1598999999999999</v>
      </c>
      <c r="D20" s="61">
        <v>-0.1</v>
      </c>
      <c r="E20" s="33">
        <v>-0.56000000000000005</v>
      </c>
      <c r="F20" s="34">
        <v>5.1799999999999999E-2</v>
      </c>
      <c r="G20" s="34">
        <v>0.1048</v>
      </c>
      <c r="H20" s="34">
        <v>3.7499999999999999E-2</v>
      </c>
      <c r="I20" s="34">
        <v>0.13469999999999999</v>
      </c>
      <c r="J20" s="91">
        <v>0</v>
      </c>
      <c r="K20" s="91">
        <v>-0.06</v>
      </c>
      <c r="L20" s="34">
        <v>9.2999999999999992E-3</v>
      </c>
      <c r="M20" s="34">
        <v>3.1699999999999999E-2</v>
      </c>
      <c r="N20" s="34">
        <v>9.4700000000000006E-2</v>
      </c>
      <c r="O20" s="34">
        <v>9.4700000000000006E-2</v>
      </c>
      <c r="P20" s="33">
        <v>-0.24</v>
      </c>
      <c r="Q20" s="33">
        <v>-0.68</v>
      </c>
      <c r="R20" s="33">
        <v>0.04</v>
      </c>
      <c r="S20" s="33">
        <v>0.08</v>
      </c>
      <c r="T20" s="35">
        <v>-0.1077</v>
      </c>
      <c r="U20" s="35">
        <v>-0.14580000000000001</v>
      </c>
      <c r="V20" s="34">
        <v>5.2200000000000003E-2</v>
      </c>
      <c r="W20" s="34">
        <v>9.9000000000000005E-2</v>
      </c>
      <c r="X20" s="33">
        <v>0.04</v>
      </c>
      <c r="Y20" s="33">
        <v>0.11</v>
      </c>
      <c r="Z20" s="33"/>
      <c r="AA20" s="34">
        <v>2.7900000000000001E-2</v>
      </c>
      <c r="AB20" s="33">
        <v>-0.06</v>
      </c>
      <c r="AC20" s="33">
        <v>-0.13</v>
      </c>
      <c r="AD20" s="33">
        <v>-0.03</v>
      </c>
      <c r="AE20" s="33">
        <v>0.02</v>
      </c>
      <c r="AF20" s="72">
        <v>-4.5999999999999999E-2</v>
      </c>
      <c r="AG20" s="34">
        <v>-1E-3</v>
      </c>
      <c r="AH20" s="88">
        <v>-0.31</v>
      </c>
      <c r="AI20" s="33">
        <v>-1.25</v>
      </c>
      <c r="AJ20" s="86">
        <v>-0.08</v>
      </c>
      <c r="AK20" s="86">
        <v>-0.27</v>
      </c>
      <c r="AL20" s="33"/>
      <c r="AM20" s="33"/>
      <c r="AN20" s="33">
        <v>-0.17</v>
      </c>
      <c r="AO20" s="33">
        <v>-0.25</v>
      </c>
      <c r="AP20" s="35">
        <v>-0.1157</v>
      </c>
      <c r="AQ20" s="35">
        <v>-0.42009999999999997</v>
      </c>
      <c r="AR20" s="61">
        <v>0.02</v>
      </c>
      <c r="AS20" s="61">
        <v>0.09</v>
      </c>
      <c r="AT20" s="35">
        <v>1.7000000000000001E-2</v>
      </c>
      <c r="AU20" s="35">
        <v>8.1000000000000003E-2</v>
      </c>
      <c r="AV20" s="34">
        <v>-9.1000000000000004E-3</v>
      </c>
      <c r="AW20" s="34">
        <v>3.5400000000000001E-2</v>
      </c>
      <c r="AX20" s="34">
        <v>0.20349999999999999</v>
      </c>
      <c r="AY20" s="34">
        <v>0.20349999999999999</v>
      </c>
      <c r="AZ20" s="34">
        <v>-0.12609999999999999</v>
      </c>
      <c r="BA20" s="34">
        <v>-0.20910000000000001</v>
      </c>
      <c r="BB20" s="33">
        <v>0.02</v>
      </c>
      <c r="BC20" s="33">
        <v>0.11</v>
      </c>
      <c r="BD20" s="91">
        <v>2.67</v>
      </c>
      <c r="BE20" s="91">
        <v>3.89</v>
      </c>
      <c r="BF20" s="30">
        <v>-186.4</v>
      </c>
      <c r="BG20" s="30">
        <v>-520.67999999999995</v>
      </c>
      <c r="BH20" s="34">
        <v>-7.7499999999999999E-2</v>
      </c>
      <c r="BI20" s="34">
        <v>-0.40660000000000002</v>
      </c>
      <c r="BJ20" s="34">
        <v>3.1399999999999997E-2</v>
      </c>
      <c r="BK20" s="34">
        <v>8.1500000000000003E-2</v>
      </c>
    </row>
    <row r="21" spans="1:63" ht="30" x14ac:dyDescent="0.25">
      <c r="A21" s="11" t="s">
        <v>138</v>
      </c>
      <c r="B21" s="30">
        <v>1.77</v>
      </c>
      <c r="C21" s="30">
        <v>1.77</v>
      </c>
      <c r="D21" s="30">
        <v>1.84</v>
      </c>
      <c r="E21" s="30">
        <v>1.84</v>
      </c>
      <c r="F21" s="91">
        <v>2.4</v>
      </c>
      <c r="G21" s="91">
        <v>2.4</v>
      </c>
      <c r="H21" s="30">
        <v>3.33</v>
      </c>
      <c r="I21" s="30">
        <v>3.33</v>
      </c>
      <c r="J21" s="91">
        <v>1.68</v>
      </c>
      <c r="K21" s="91">
        <v>1.68</v>
      </c>
      <c r="L21" s="30">
        <v>1.86</v>
      </c>
      <c r="M21" s="30">
        <v>1.86</v>
      </c>
      <c r="N21" s="34"/>
      <c r="O21" s="91">
        <v>23.92</v>
      </c>
      <c r="P21" s="30">
        <v>1.77</v>
      </c>
      <c r="Q21" s="30">
        <v>1.77</v>
      </c>
      <c r="R21" s="30">
        <v>1.64</v>
      </c>
      <c r="S21" s="91">
        <v>1.64</v>
      </c>
      <c r="T21" s="30">
        <v>1.64</v>
      </c>
      <c r="U21" s="30">
        <v>1.64</v>
      </c>
      <c r="V21" s="91">
        <v>1.7</v>
      </c>
      <c r="W21" s="91">
        <v>1.7</v>
      </c>
      <c r="X21" s="30">
        <v>2.4500000000000002</v>
      </c>
      <c r="Y21" s="30">
        <v>2.4500000000000002</v>
      </c>
      <c r="Z21" s="30"/>
      <c r="AA21" s="30">
        <v>1.74</v>
      </c>
      <c r="AB21" s="30">
        <v>2.35</v>
      </c>
      <c r="AC21" s="30">
        <v>2.35</v>
      </c>
      <c r="AD21" s="30">
        <v>2.87</v>
      </c>
      <c r="AE21" s="30">
        <v>2.87</v>
      </c>
      <c r="AF21" s="91">
        <v>1.61</v>
      </c>
      <c r="AG21" s="91">
        <v>1.61</v>
      </c>
      <c r="AH21" s="86">
        <v>1.59</v>
      </c>
      <c r="AI21" s="86">
        <v>1.59</v>
      </c>
      <c r="AJ21" s="121" t="s">
        <v>326</v>
      </c>
      <c r="AK21" s="121" t="s">
        <v>326</v>
      </c>
      <c r="AL21" s="30"/>
      <c r="AM21" s="30"/>
      <c r="AN21" s="30">
        <v>2.15</v>
      </c>
      <c r="AO21" s="30">
        <v>2.15</v>
      </c>
      <c r="AP21" s="30">
        <v>2.19</v>
      </c>
      <c r="AQ21" s="30">
        <v>2.19</v>
      </c>
      <c r="AR21" s="77">
        <v>1.69</v>
      </c>
      <c r="AS21" s="77">
        <v>1.69</v>
      </c>
      <c r="AT21" s="91">
        <v>2.14</v>
      </c>
      <c r="AU21" s="91">
        <v>2.14</v>
      </c>
      <c r="AV21" s="30">
        <v>1.93</v>
      </c>
      <c r="AW21" s="30">
        <v>1.93</v>
      </c>
      <c r="AX21" s="30">
        <v>4.7</v>
      </c>
      <c r="AY21" s="30">
        <v>4.7</v>
      </c>
      <c r="AZ21" s="30">
        <v>1.8</v>
      </c>
      <c r="BA21" s="30">
        <v>1.8</v>
      </c>
      <c r="BB21" s="30">
        <v>2.11</v>
      </c>
      <c r="BC21" s="30">
        <v>2.11</v>
      </c>
      <c r="BD21" s="30">
        <v>1.83</v>
      </c>
      <c r="BE21" s="30">
        <v>1.83</v>
      </c>
      <c r="BF21" s="30">
        <v>-2.19</v>
      </c>
      <c r="BG21" s="30">
        <v>0.15</v>
      </c>
      <c r="BH21" s="30">
        <v>0.72</v>
      </c>
      <c r="BI21" s="30">
        <v>0.72</v>
      </c>
      <c r="BJ21" s="30">
        <v>2.09</v>
      </c>
      <c r="BK21" s="30">
        <v>2.09</v>
      </c>
    </row>
  </sheetData>
  <mergeCells count="31">
    <mergeCell ref="BH2:BI2"/>
    <mergeCell ref="BJ2:BK2"/>
    <mergeCell ref="BD2:BE2"/>
    <mergeCell ref="AX2:AY2"/>
    <mergeCell ref="AZ2:BA2"/>
    <mergeCell ref="BB2:BC2"/>
    <mergeCell ref="AJ2:AK2"/>
    <mergeCell ref="AL2:AM2"/>
    <mergeCell ref="AN2:AO2"/>
    <mergeCell ref="AP2:AQ2"/>
    <mergeCell ref="BF2:BG2"/>
    <mergeCell ref="AR2:AS2"/>
    <mergeCell ref="AT2:AU2"/>
    <mergeCell ref="AV2:AW2"/>
    <mergeCell ref="X2:Y2"/>
    <mergeCell ref="Z2:AA2"/>
    <mergeCell ref="AB2:AC2"/>
    <mergeCell ref="AD2:AE2"/>
    <mergeCell ref="AH2:AI2"/>
    <mergeCell ref="AF2:AG2"/>
    <mergeCell ref="J2:K2"/>
    <mergeCell ref="B2:C2"/>
    <mergeCell ref="D2:E2"/>
    <mergeCell ref="F2:G2"/>
    <mergeCell ref="H2:I2"/>
    <mergeCell ref="V2:W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22" customWidth="1"/>
    <col min="2" max="16" width="16" style="22" customWidth="1"/>
    <col min="17" max="17" width="19.5703125" style="22" customWidth="1"/>
    <col min="18" max="32" width="16" style="22" customWidth="1"/>
    <col min="33" max="16384" width="9.140625" style="22"/>
  </cols>
  <sheetData>
    <row r="1" spans="1:32" ht="18.75" x14ac:dyDescent="0.3">
      <c r="A1" s="8" t="s">
        <v>314</v>
      </c>
    </row>
    <row r="2" spans="1:32" x14ac:dyDescent="0.25">
      <c r="A2" s="22" t="s">
        <v>98</v>
      </c>
    </row>
    <row r="3" spans="1:32" x14ac:dyDescent="0.25">
      <c r="A3" s="1" t="s">
        <v>0</v>
      </c>
      <c r="B3" s="126" t="s">
        <v>1</v>
      </c>
      <c r="C3" s="126" t="s">
        <v>234</v>
      </c>
      <c r="D3" s="126" t="s">
        <v>2</v>
      </c>
      <c r="E3" s="126" t="s">
        <v>3</v>
      </c>
      <c r="F3" s="126" t="s">
        <v>243</v>
      </c>
      <c r="G3" s="126" t="s">
        <v>235</v>
      </c>
      <c r="H3" s="126" t="s">
        <v>5</v>
      </c>
      <c r="I3" s="126" t="s">
        <v>4</v>
      </c>
      <c r="J3" s="126" t="s">
        <v>6</v>
      </c>
      <c r="K3" s="126" t="s">
        <v>246</v>
      </c>
      <c r="L3" s="126" t="s">
        <v>7</v>
      </c>
      <c r="M3" s="126" t="s">
        <v>8</v>
      </c>
      <c r="N3" s="126" t="s">
        <v>9</v>
      </c>
      <c r="O3" s="126" t="s">
        <v>242</v>
      </c>
      <c r="P3" s="126" t="s">
        <v>10</v>
      </c>
      <c r="Q3" s="126" t="s">
        <v>11</v>
      </c>
      <c r="R3" s="126" t="s">
        <v>236</v>
      </c>
      <c r="S3" s="126" t="s">
        <v>245</v>
      </c>
      <c r="T3" s="126" t="s">
        <v>12</v>
      </c>
      <c r="U3" s="126" t="s">
        <v>237</v>
      </c>
      <c r="V3" s="126" t="s">
        <v>238</v>
      </c>
      <c r="W3" s="126" t="s">
        <v>241</v>
      </c>
      <c r="X3" s="126" t="s">
        <v>13</v>
      </c>
      <c r="Y3" s="126" t="s">
        <v>14</v>
      </c>
      <c r="Z3" s="126" t="s">
        <v>15</v>
      </c>
      <c r="AA3" s="126" t="s">
        <v>16</v>
      </c>
      <c r="AB3" s="126" t="s">
        <v>17</v>
      </c>
      <c r="AC3" s="125" t="s">
        <v>239</v>
      </c>
      <c r="AD3" s="125" t="s">
        <v>240</v>
      </c>
      <c r="AE3" s="125" t="s">
        <v>18</v>
      </c>
      <c r="AF3" s="126" t="s">
        <v>19</v>
      </c>
    </row>
    <row r="4" spans="1:32" ht="15" customHeight="1" x14ac:dyDescent="0.25">
      <c r="A4" s="20" t="s">
        <v>99</v>
      </c>
      <c r="B4" s="24">
        <v>62239</v>
      </c>
      <c r="C4" s="24">
        <v>130586</v>
      </c>
      <c r="D4" s="24">
        <v>2701712</v>
      </c>
      <c r="E4" s="92">
        <v>1993644</v>
      </c>
      <c r="F4" s="24">
        <v>216001</v>
      </c>
      <c r="G4" s="24">
        <v>1097813</v>
      </c>
      <c r="H4" s="92">
        <v>840799.65</v>
      </c>
      <c r="I4" s="92">
        <v>47523</v>
      </c>
      <c r="J4" s="24">
        <v>501666</v>
      </c>
      <c r="K4" s="141">
        <v>711135</v>
      </c>
      <c r="L4" s="92">
        <v>1557858</v>
      </c>
      <c r="M4" s="92">
        <v>3960594</v>
      </c>
      <c r="N4" s="24">
        <v>1004626.62</v>
      </c>
      <c r="O4" s="24">
        <v>90724</v>
      </c>
      <c r="P4" s="24">
        <v>244943</v>
      </c>
      <c r="Q4" s="24">
        <v>316304</v>
      </c>
      <c r="R4" s="24">
        <v>62960</v>
      </c>
      <c r="S4" s="24">
        <v>130964</v>
      </c>
      <c r="T4" s="24">
        <v>3408666</v>
      </c>
      <c r="U4" s="24">
        <v>43614</v>
      </c>
      <c r="V4" s="24">
        <v>62710</v>
      </c>
      <c r="W4" s="24">
        <v>1330025</v>
      </c>
      <c r="X4" s="92">
        <v>599160</v>
      </c>
      <c r="Y4" s="92">
        <v>886823</v>
      </c>
      <c r="Z4" s="24">
        <v>919726</v>
      </c>
      <c r="AA4" s="24">
        <v>701452</v>
      </c>
      <c r="AB4" s="92">
        <v>1575071</v>
      </c>
      <c r="AC4" s="24">
        <v>4856595</v>
      </c>
      <c r="AD4" s="92">
        <v>2567785</v>
      </c>
      <c r="AE4" s="92">
        <v>3611120.15</v>
      </c>
      <c r="AF4" s="92">
        <v>367423</v>
      </c>
    </row>
    <row r="5" spans="1:32" ht="15" customHeight="1" x14ac:dyDescent="0.25">
      <c r="A5" s="20" t="s">
        <v>100</v>
      </c>
      <c r="B5" s="24"/>
      <c r="C5" s="24"/>
      <c r="D5" s="24"/>
      <c r="E5" s="24"/>
      <c r="F5" s="24"/>
      <c r="G5" s="24"/>
      <c r="H5" s="24"/>
      <c r="I5" s="24"/>
      <c r="J5" s="24"/>
      <c r="K5" s="139"/>
      <c r="L5" s="24"/>
      <c r="M5" s="24"/>
      <c r="N5" s="24"/>
      <c r="O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15" customHeight="1" x14ac:dyDescent="0.25">
      <c r="A6" s="20" t="s">
        <v>102</v>
      </c>
      <c r="B6" s="24">
        <v>42954</v>
      </c>
      <c r="C6" s="24">
        <v>75663</v>
      </c>
      <c r="D6" s="24">
        <v>1056794</v>
      </c>
      <c r="E6" s="92">
        <v>1505081</v>
      </c>
      <c r="F6" s="24">
        <v>184414</v>
      </c>
      <c r="G6" s="24">
        <v>689698</v>
      </c>
      <c r="H6" s="92">
        <v>788556.19</v>
      </c>
      <c r="I6" s="92">
        <v>33118</v>
      </c>
      <c r="J6" s="24">
        <v>86583</v>
      </c>
      <c r="K6" s="141">
        <v>547136</v>
      </c>
      <c r="L6" s="92">
        <v>1101831</v>
      </c>
      <c r="M6" s="92">
        <v>3233937</v>
      </c>
      <c r="N6" s="24">
        <v>707816.38</v>
      </c>
      <c r="O6" s="24">
        <v>82974</v>
      </c>
      <c r="P6" s="24">
        <v>194559</v>
      </c>
      <c r="Q6" s="24">
        <v>258494</v>
      </c>
      <c r="R6" s="24">
        <v>53956</v>
      </c>
      <c r="S6" s="24">
        <v>24418</v>
      </c>
      <c r="T6" s="24">
        <v>2680955</v>
      </c>
      <c r="U6" s="92">
        <v>31183</v>
      </c>
      <c r="V6" s="24">
        <v>42504</v>
      </c>
      <c r="W6" s="24">
        <v>1077679</v>
      </c>
      <c r="X6" s="92">
        <v>560902</v>
      </c>
      <c r="Y6" s="92">
        <v>851495</v>
      </c>
      <c r="Z6" s="24">
        <v>764058</v>
      </c>
      <c r="AA6" s="24">
        <v>52884</v>
      </c>
      <c r="AB6" s="92">
        <v>1230345</v>
      </c>
      <c r="AC6" s="24">
        <v>4438309</v>
      </c>
      <c r="AD6" s="92">
        <v>1679449</v>
      </c>
      <c r="AE6" s="92">
        <v>2410108.2799999998</v>
      </c>
      <c r="AF6" s="92">
        <v>255969</v>
      </c>
    </row>
    <row r="7" spans="1:32" ht="15" customHeight="1" x14ac:dyDescent="0.25">
      <c r="A7" s="20" t="s">
        <v>103</v>
      </c>
      <c r="B7" s="24"/>
      <c r="C7" s="24">
        <v>3298</v>
      </c>
      <c r="D7" s="24">
        <v>36004</v>
      </c>
      <c r="E7" s="24"/>
      <c r="F7" s="24"/>
      <c r="G7" s="24">
        <v>231539</v>
      </c>
      <c r="H7" s="92">
        <v>36344.879999999997</v>
      </c>
      <c r="I7" s="24">
        <v>706</v>
      </c>
      <c r="J7" s="24">
        <v>407909</v>
      </c>
      <c r="K7" s="141">
        <v>1067</v>
      </c>
      <c r="L7" s="24"/>
      <c r="M7" s="92">
        <v>4531</v>
      </c>
      <c r="N7" s="24">
        <v>276960.40000000002</v>
      </c>
      <c r="O7" s="24"/>
      <c r="Q7" s="24">
        <v>57811</v>
      </c>
      <c r="R7" s="24">
        <v>3923</v>
      </c>
      <c r="S7" s="24">
        <v>96859</v>
      </c>
      <c r="T7" s="24">
        <v>692956</v>
      </c>
      <c r="U7" s="24"/>
      <c r="V7" s="24">
        <v>17036</v>
      </c>
      <c r="W7" s="24"/>
      <c r="X7" s="24"/>
      <c r="Y7" s="24"/>
      <c r="Z7" s="24">
        <v>89664</v>
      </c>
      <c r="AA7" s="24">
        <v>633175</v>
      </c>
      <c r="AB7" s="24"/>
      <c r="AC7" s="24"/>
      <c r="AD7" s="92">
        <v>603337</v>
      </c>
      <c r="AE7" s="92">
        <v>687328.42</v>
      </c>
      <c r="AF7" s="24"/>
    </row>
    <row r="8" spans="1:32" ht="30" customHeight="1" x14ac:dyDescent="0.25">
      <c r="A8" s="20" t="s">
        <v>101</v>
      </c>
      <c r="B8" s="24">
        <v>19285</v>
      </c>
      <c r="C8" s="24">
        <v>40188</v>
      </c>
      <c r="D8" s="24">
        <v>1603603</v>
      </c>
      <c r="E8" s="92">
        <v>331048</v>
      </c>
      <c r="F8" s="24">
        <v>20110</v>
      </c>
      <c r="G8" s="24">
        <v>162744</v>
      </c>
      <c r="H8" s="24"/>
      <c r="I8" s="92">
        <v>10474</v>
      </c>
      <c r="J8" s="24"/>
      <c r="K8" s="141">
        <v>159322</v>
      </c>
      <c r="L8" s="92">
        <v>456027</v>
      </c>
      <c r="M8" s="92">
        <v>716117</v>
      </c>
      <c r="N8" s="24">
        <v>19849.849999999999</v>
      </c>
      <c r="O8" s="24">
        <v>13</v>
      </c>
      <c r="P8" s="24">
        <v>50031</v>
      </c>
      <c r="Q8" s="24"/>
      <c r="R8" s="24"/>
      <c r="S8" s="24"/>
      <c r="T8" s="24"/>
      <c r="U8" s="92">
        <v>11778</v>
      </c>
      <c r="V8" s="24">
        <v>197</v>
      </c>
      <c r="W8" s="24"/>
      <c r="X8" s="92">
        <v>61351</v>
      </c>
      <c r="Y8" s="24"/>
      <c r="Z8" s="24">
        <v>30856</v>
      </c>
      <c r="AA8" s="24"/>
      <c r="AB8" s="92">
        <v>344726</v>
      </c>
      <c r="AC8" s="24">
        <v>434517</v>
      </c>
      <c r="AD8" s="92">
        <v>95304</v>
      </c>
      <c r="AE8" s="92">
        <v>498445.4</v>
      </c>
      <c r="AF8" s="92">
        <v>111016</v>
      </c>
    </row>
    <row r="9" spans="1:32" s="32" customFormat="1" ht="15" customHeight="1" x14ac:dyDescent="0.25">
      <c r="A9" s="14" t="s">
        <v>104</v>
      </c>
      <c r="B9" s="31"/>
      <c r="C9" s="31">
        <v>11443</v>
      </c>
      <c r="D9" s="31">
        <v>5310</v>
      </c>
      <c r="E9" s="31">
        <v>157515</v>
      </c>
      <c r="F9" s="31">
        <v>11476</v>
      </c>
      <c r="G9" s="31">
        <v>13833</v>
      </c>
      <c r="H9" s="31">
        <v>15898.58</v>
      </c>
      <c r="I9" s="31">
        <v>3225</v>
      </c>
      <c r="J9" s="31">
        <v>7174</v>
      </c>
      <c r="K9" s="142">
        <v>3610</v>
      </c>
      <c r="L9" s="31"/>
      <c r="M9" s="31">
        <v>6009</v>
      </c>
      <c r="N9" s="31"/>
      <c r="O9" s="31">
        <v>7737</v>
      </c>
      <c r="P9" s="31">
        <v>353</v>
      </c>
      <c r="Q9" s="31"/>
      <c r="R9" s="31">
        <v>5080</v>
      </c>
      <c r="S9" s="31">
        <v>9687</v>
      </c>
      <c r="T9" s="31">
        <v>34756</v>
      </c>
      <c r="U9" s="31">
        <v>654</v>
      </c>
      <c r="V9" s="31">
        <v>2973</v>
      </c>
      <c r="W9" s="31">
        <v>252346</v>
      </c>
      <c r="X9" s="31">
        <v>-23093</v>
      </c>
      <c r="Y9" s="31">
        <v>35328</v>
      </c>
      <c r="Z9" s="31">
        <v>35148</v>
      </c>
      <c r="AA9" s="31">
        <v>15393</v>
      </c>
      <c r="AB9" s="31"/>
      <c r="AC9" s="31">
        <v>-16231</v>
      </c>
      <c r="AD9" s="31">
        <v>189695</v>
      </c>
      <c r="AE9" s="31">
        <v>15238.05</v>
      </c>
      <c r="AF9" s="31">
        <v>439</v>
      </c>
    </row>
    <row r="10" spans="1:32" ht="15" customHeight="1" x14ac:dyDescent="0.25">
      <c r="A10" s="20" t="s">
        <v>105</v>
      </c>
      <c r="B10" s="24">
        <v>33055</v>
      </c>
      <c r="C10" s="24">
        <v>34835</v>
      </c>
      <c r="D10" s="24">
        <v>468081</v>
      </c>
      <c r="E10" s="92">
        <v>672054</v>
      </c>
      <c r="F10" s="24">
        <v>123935</v>
      </c>
      <c r="G10" s="24">
        <v>188088</v>
      </c>
      <c r="H10" s="92">
        <v>662929.35</v>
      </c>
      <c r="I10" s="92">
        <v>10105</v>
      </c>
      <c r="J10" s="24">
        <v>132979</v>
      </c>
      <c r="K10" s="141">
        <v>130837</v>
      </c>
      <c r="L10" s="92">
        <v>424014</v>
      </c>
      <c r="M10" s="92">
        <v>814983</v>
      </c>
      <c r="N10" s="24">
        <v>518285.53</v>
      </c>
      <c r="O10" s="24">
        <v>36954</v>
      </c>
      <c r="P10" s="24"/>
      <c r="Q10" s="24">
        <v>60633</v>
      </c>
      <c r="R10" s="24">
        <v>35656</v>
      </c>
      <c r="S10" s="24">
        <v>107339</v>
      </c>
      <c r="T10" s="24">
        <v>1208</v>
      </c>
      <c r="U10" s="24">
        <v>14386</v>
      </c>
      <c r="V10" s="24">
        <v>18918</v>
      </c>
      <c r="W10" s="24">
        <v>311296</v>
      </c>
      <c r="X10" s="92">
        <v>167560</v>
      </c>
      <c r="Y10" s="92">
        <v>270184</v>
      </c>
      <c r="Z10" s="24">
        <v>191493</v>
      </c>
      <c r="AA10" s="24">
        <v>477448</v>
      </c>
      <c r="AB10" s="92">
        <v>419534</v>
      </c>
      <c r="AC10" s="24">
        <v>1977540</v>
      </c>
      <c r="AD10" s="92">
        <v>190100</v>
      </c>
      <c r="AE10" s="92">
        <v>358016.09</v>
      </c>
      <c r="AF10" s="92">
        <v>116261</v>
      </c>
    </row>
    <row r="11" spans="1:32" ht="30" customHeight="1" x14ac:dyDescent="0.25">
      <c r="A11" s="20" t="s">
        <v>106</v>
      </c>
      <c r="B11" s="24">
        <v>5941</v>
      </c>
      <c r="C11" s="24"/>
      <c r="D11" s="24">
        <v>14475</v>
      </c>
      <c r="E11" s="92">
        <v>88075</v>
      </c>
      <c r="F11" s="24">
        <v>41672</v>
      </c>
      <c r="G11" s="24">
        <v>39433</v>
      </c>
      <c r="H11" s="92">
        <v>29736.720000000001</v>
      </c>
      <c r="I11" s="92">
        <v>1458</v>
      </c>
      <c r="J11" s="24">
        <v>36548</v>
      </c>
      <c r="K11" s="139"/>
      <c r="L11" s="92">
        <v>82570</v>
      </c>
      <c r="M11" s="92">
        <v>34725</v>
      </c>
      <c r="N11" s="24">
        <v>212634.66</v>
      </c>
      <c r="O11" s="24">
        <v>17307</v>
      </c>
      <c r="P11" s="24">
        <v>20386</v>
      </c>
      <c r="Q11" s="24">
        <v>21971</v>
      </c>
      <c r="R11" s="24">
        <v>11452</v>
      </c>
      <c r="S11" s="24">
        <v>48150</v>
      </c>
      <c r="T11" s="24"/>
      <c r="U11" s="24">
        <v>4280</v>
      </c>
      <c r="V11" s="24">
        <v>4613</v>
      </c>
      <c r="W11" s="24">
        <v>89728</v>
      </c>
      <c r="X11" s="24">
        <v>13789</v>
      </c>
      <c r="Y11" s="92">
        <v>28844</v>
      </c>
      <c r="Z11" s="24">
        <v>18543</v>
      </c>
      <c r="AA11" s="24">
        <v>54192</v>
      </c>
      <c r="AB11" s="92">
        <v>67785</v>
      </c>
      <c r="AC11" s="24">
        <v>366050</v>
      </c>
      <c r="AD11" s="92">
        <v>316266</v>
      </c>
      <c r="AE11" s="92">
        <v>49417.23</v>
      </c>
      <c r="AF11" s="92">
        <v>16394</v>
      </c>
    </row>
    <row r="12" spans="1:32" s="32" customFormat="1" x14ac:dyDescent="0.25">
      <c r="A12" s="14" t="s">
        <v>107</v>
      </c>
      <c r="B12" s="31">
        <v>27114</v>
      </c>
      <c r="C12" s="31">
        <v>34835</v>
      </c>
      <c r="D12" s="31">
        <v>453606</v>
      </c>
      <c r="E12" s="31">
        <v>583979</v>
      </c>
      <c r="F12" s="31">
        <v>82263</v>
      </c>
      <c r="G12" s="31">
        <v>148655</v>
      </c>
      <c r="H12" s="31">
        <v>633192.63</v>
      </c>
      <c r="I12" s="31">
        <v>8647</v>
      </c>
      <c r="J12" s="31">
        <v>96431</v>
      </c>
      <c r="K12" s="142">
        <v>130837</v>
      </c>
      <c r="L12" s="31">
        <v>341445</v>
      </c>
      <c r="M12" s="31">
        <v>780258</v>
      </c>
      <c r="N12" s="31">
        <v>305650.87</v>
      </c>
      <c r="O12" s="31">
        <v>19648</v>
      </c>
      <c r="P12" s="31">
        <v>80116</v>
      </c>
      <c r="Q12" s="31">
        <v>38662</v>
      </c>
      <c r="R12" s="31">
        <v>24204</v>
      </c>
      <c r="S12" s="85">
        <v>59189</v>
      </c>
      <c r="T12" s="31">
        <v>1208</v>
      </c>
      <c r="U12" s="31">
        <v>10107</v>
      </c>
      <c r="V12" s="31">
        <v>14305</v>
      </c>
      <c r="W12" s="31">
        <v>221568</v>
      </c>
      <c r="X12" s="31">
        <v>153770</v>
      </c>
      <c r="Y12" s="31">
        <v>241340</v>
      </c>
      <c r="Z12" s="31">
        <v>172950</v>
      </c>
      <c r="AA12" s="31">
        <v>423256</v>
      </c>
      <c r="AB12" s="31">
        <v>351749</v>
      </c>
      <c r="AC12" s="31">
        <v>1611490</v>
      </c>
      <c r="AD12" s="31">
        <v>-126166</v>
      </c>
      <c r="AE12" s="31">
        <v>308598.86</v>
      </c>
      <c r="AF12" s="31">
        <v>99867</v>
      </c>
    </row>
    <row r="13" spans="1:32" s="7" customFormat="1" ht="15" customHeight="1" x14ac:dyDescent="0.25">
      <c r="A13" s="3" t="s">
        <v>108</v>
      </c>
      <c r="B13" s="10">
        <v>27114</v>
      </c>
      <c r="C13" s="10">
        <v>46273</v>
      </c>
      <c r="D13" s="10">
        <v>458916</v>
      </c>
      <c r="E13" s="10">
        <v>741494</v>
      </c>
      <c r="F13" s="10">
        <v>93740</v>
      </c>
      <c r="G13" s="10">
        <v>162488</v>
      </c>
      <c r="H13" s="10">
        <v>649091.21</v>
      </c>
      <c r="I13" s="10">
        <v>11872</v>
      </c>
      <c r="J13" s="10">
        <v>103605</v>
      </c>
      <c r="K13" s="143">
        <v>134447</v>
      </c>
      <c r="L13" s="10">
        <v>341445</v>
      </c>
      <c r="M13" s="10">
        <v>786267</v>
      </c>
      <c r="N13" s="10">
        <v>305650.87</v>
      </c>
      <c r="O13" s="10">
        <v>27385</v>
      </c>
      <c r="P13" s="10">
        <v>80469</v>
      </c>
      <c r="Q13" s="10">
        <v>38662</v>
      </c>
      <c r="R13" s="10">
        <v>29284</v>
      </c>
      <c r="S13" s="10">
        <v>68876</v>
      </c>
      <c r="T13" s="10">
        <v>35964</v>
      </c>
      <c r="U13" s="10">
        <v>10760</v>
      </c>
      <c r="V13" s="10">
        <v>17278</v>
      </c>
      <c r="W13" s="10">
        <v>221570</v>
      </c>
      <c r="X13" s="10">
        <v>130677</v>
      </c>
      <c r="Y13" s="10">
        <v>276668</v>
      </c>
      <c r="Z13" s="10">
        <v>208098</v>
      </c>
      <c r="AA13" s="10">
        <v>438649</v>
      </c>
      <c r="AB13" s="10">
        <v>351749</v>
      </c>
      <c r="AC13" s="10">
        <v>1595259</v>
      </c>
      <c r="AD13" s="10">
        <v>63529</v>
      </c>
      <c r="AE13" s="10">
        <v>323836.90999999997</v>
      </c>
      <c r="AF13" s="10">
        <v>100306</v>
      </c>
    </row>
    <row r="14" spans="1:32" s="7" customFormat="1" ht="14.25" customHeight="1" x14ac:dyDescent="0.25">
      <c r="A14" s="3" t="s">
        <v>109</v>
      </c>
      <c r="B14" s="10">
        <v>15306</v>
      </c>
      <c r="C14" s="10">
        <v>25092</v>
      </c>
      <c r="D14" s="10">
        <v>191435</v>
      </c>
      <c r="E14" s="10">
        <v>222636</v>
      </c>
      <c r="F14" s="10">
        <v>55860</v>
      </c>
      <c r="G14" s="10">
        <v>87267</v>
      </c>
      <c r="H14" s="10">
        <v>27136.98</v>
      </c>
      <c r="I14" s="10">
        <v>6708</v>
      </c>
      <c r="J14" s="10">
        <v>63289</v>
      </c>
      <c r="K14" s="10">
        <v>82025</v>
      </c>
      <c r="L14" s="10">
        <v>201353</v>
      </c>
      <c r="M14" s="10">
        <v>321427</v>
      </c>
      <c r="N14" s="10">
        <v>175359.95</v>
      </c>
      <c r="O14" s="10">
        <v>11636</v>
      </c>
      <c r="P14" s="10">
        <v>28083</v>
      </c>
      <c r="Q14" s="10">
        <v>23994</v>
      </c>
      <c r="R14" s="10">
        <v>18430</v>
      </c>
      <c r="S14" s="10">
        <v>38717</v>
      </c>
      <c r="T14" s="10">
        <v>408238</v>
      </c>
      <c r="U14" s="10">
        <v>5000</v>
      </c>
      <c r="V14" s="10">
        <v>7891</v>
      </c>
      <c r="W14" s="10">
        <v>131080</v>
      </c>
      <c r="X14" s="10">
        <v>61152</v>
      </c>
      <c r="Y14" s="10">
        <v>143191</v>
      </c>
      <c r="Z14" s="10">
        <v>44274</v>
      </c>
      <c r="AA14" s="10">
        <v>244366</v>
      </c>
      <c r="AB14" s="10">
        <v>166510</v>
      </c>
      <c r="AC14" s="10">
        <v>872694</v>
      </c>
      <c r="AD14" s="10">
        <v>422187</v>
      </c>
      <c r="AE14" s="10">
        <v>451562.99</v>
      </c>
      <c r="AF14" s="10">
        <v>47977</v>
      </c>
    </row>
    <row r="15" spans="1:32" s="132" customFormat="1" ht="14.25" customHeight="1" x14ac:dyDescent="0.25">
      <c r="A15" s="130" t="s">
        <v>110</v>
      </c>
      <c r="B15" s="131">
        <v>1.77</v>
      </c>
      <c r="C15" s="131">
        <v>1.84</v>
      </c>
      <c r="D15" s="131">
        <v>2.4</v>
      </c>
      <c r="E15" s="131">
        <v>3.33</v>
      </c>
      <c r="F15" s="131">
        <v>1.68</v>
      </c>
      <c r="G15" s="131">
        <v>1.8620000000000001</v>
      </c>
      <c r="H15" s="140">
        <v>23.92</v>
      </c>
      <c r="I15" s="140">
        <v>1.77</v>
      </c>
      <c r="J15" s="131">
        <v>1.64</v>
      </c>
      <c r="K15" s="131">
        <v>1.64</v>
      </c>
      <c r="L15" s="131">
        <v>1.696</v>
      </c>
      <c r="M15" s="131">
        <v>2.4500000000000002</v>
      </c>
      <c r="N15" s="131">
        <v>1.74</v>
      </c>
      <c r="O15" s="131">
        <v>2.35</v>
      </c>
      <c r="P15" s="131">
        <v>2.87</v>
      </c>
      <c r="Q15" s="131">
        <v>1.61</v>
      </c>
      <c r="R15" s="131">
        <v>1.589</v>
      </c>
      <c r="S15" s="131">
        <v>1.78</v>
      </c>
      <c r="T15" s="131">
        <v>0.09</v>
      </c>
      <c r="U15" s="131">
        <v>2.15</v>
      </c>
      <c r="V15" s="131">
        <v>2.19</v>
      </c>
      <c r="W15" s="131">
        <v>1.69</v>
      </c>
      <c r="X15" s="131">
        <v>2.14</v>
      </c>
      <c r="Y15" s="131">
        <v>1.93</v>
      </c>
      <c r="Z15" s="131">
        <v>4.7</v>
      </c>
      <c r="AA15" s="131">
        <v>1.8</v>
      </c>
      <c r="AB15" s="131">
        <v>2.11</v>
      </c>
      <c r="AC15" s="131">
        <v>1.83</v>
      </c>
      <c r="AD15" s="140">
        <v>0.15</v>
      </c>
      <c r="AE15" s="131">
        <v>0.72</v>
      </c>
      <c r="AF15" s="131">
        <v>2.09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38" bestFit="1" customWidth="1"/>
    <col min="2" max="2" width="12.85546875" style="6" customWidth="1"/>
    <col min="3" max="5" width="12.85546875" style="38" customWidth="1"/>
    <col min="6" max="6" width="12.85546875" style="41" customWidth="1"/>
    <col min="7" max="7" width="12.85546875" style="71" customWidth="1"/>
    <col min="8" max="10" width="12.85546875" style="38" customWidth="1"/>
    <col min="11" max="11" width="12.85546875" style="41" customWidth="1"/>
    <col min="12" max="12" width="12.85546875" style="71" customWidth="1"/>
    <col min="13" max="16" width="12.85546875" style="38" customWidth="1"/>
    <col min="17" max="17" width="12.85546875" style="6" customWidth="1"/>
    <col min="18" max="20" width="12.85546875" style="38" customWidth="1"/>
    <col min="21" max="21" width="12.85546875" style="41" customWidth="1"/>
    <col min="22" max="22" width="12.85546875" style="6" customWidth="1"/>
    <col min="23" max="25" width="12.85546875" style="38" customWidth="1"/>
    <col min="26" max="26" width="12.85546875" style="41" customWidth="1"/>
    <col min="27" max="27" width="12.85546875" style="6" customWidth="1"/>
    <col min="28" max="30" width="12.85546875" style="38" customWidth="1"/>
    <col min="31" max="31" width="12.85546875" style="41" customWidth="1"/>
    <col min="32" max="35" width="12.85546875" style="38" customWidth="1"/>
    <col min="36" max="36" width="12.85546875" style="41" customWidth="1"/>
    <col min="37" max="37" width="12.85546875" style="6" customWidth="1"/>
    <col min="38" max="40" width="12.85546875" style="38" customWidth="1"/>
    <col min="41" max="41" width="12.85546875" style="41" customWidth="1"/>
    <col min="42" max="42" width="12.85546875" style="6" customWidth="1"/>
    <col min="43" max="45" width="12.85546875" style="38" customWidth="1"/>
    <col min="46" max="46" width="12.85546875" style="41" customWidth="1"/>
    <col min="47" max="47" width="12.85546875" style="6" customWidth="1"/>
    <col min="48" max="50" width="12.85546875" style="38" customWidth="1"/>
    <col min="51" max="51" width="12.85546875" style="41" customWidth="1"/>
    <col min="52" max="52" width="12.85546875" style="6" customWidth="1"/>
    <col min="53" max="55" width="12.85546875" style="38" customWidth="1"/>
    <col min="56" max="56" width="12.85546875" style="41" customWidth="1"/>
    <col min="57" max="57" width="12.85546875" style="6" customWidth="1"/>
    <col min="58" max="60" width="12.85546875" style="38" customWidth="1"/>
    <col min="61" max="61" width="12.85546875" style="41" customWidth="1"/>
    <col min="62" max="62" width="12.85546875" style="71" customWidth="1"/>
    <col min="63" max="65" width="12.85546875" style="38" customWidth="1"/>
    <col min="66" max="66" width="12.85546875" style="41" customWidth="1"/>
    <col min="67" max="67" width="12.85546875" style="6" customWidth="1"/>
    <col min="68" max="70" width="12.85546875" style="38" customWidth="1"/>
    <col min="71" max="71" width="12.85546875" style="41" customWidth="1"/>
    <col min="72" max="72" width="12.85546875" style="6" customWidth="1"/>
    <col min="73" max="75" width="12.85546875" style="38" customWidth="1"/>
    <col min="76" max="76" width="12.85546875" style="41" customWidth="1"/>
    <col min="77" max="77" width="12.85546875" style="71" customWidth="1"/>
    <col min="78" max="80" width="12.85546875" style="38" customWidth="1"/>
    <col min="81" max="81" width="12.85546875" style="41" customWidth="1"/>
    <col min="82" max="82" width="12.85546875" style="6" customWidth="1"/>
    <col min="83" max="85" width="12.85546875" style="38" customWidth="1"/>
    <col min="86" max="86" width="12.85546875" style="41" customWidth="1"/>
    <col min="87" max="87" width="12.85546875" style="6" customWidth="1"/>
    <col min="88" max="90" width="12.85546875" style="38" customWidth="1"/>
    <col min="91" max="91" width="12.85546875" style="41" customWidth="1"/>
    <col min="92" max="92" width="12.85546875" style="71" customWidth="1"/>
    <col min="93" max="96" width="12.85546875" style="38" customWidth="1"/>
    <col min="97" max="97" width="12.85546875" style="6" customWidth="1"/>
    <col min="98" max="100" width="12.85546875" style="38" customWidth="1"/>
    <col min="101" max="101" width="12.85546875" style="41" customWidth="1"/>
    <col min="102" max="102" width="12.85546875" style="71" customWidth="1"/>
    <col min="103" max="106" width="12.85546875" style="38" customWidth="1"/>
    <col min="107" max="107" width="12.85546875" style="6" customWidth="1"/>
    <col min="108" max="111" width="12.85546875" style="38" customWidth="1"/>
    <col min="112" max="112" width="12.85546875" style="6" customWidth="1"/>
    <col min="113" max="115" width="12.85546875" style="38" customWidth="1"/>
    <col min="116" max="116" width="12.85546875" style="41" customWidth="1"/>
    <col min="117" max="117" width="12.85546875" style="59" customWidth="1"/>
    <col min="118" max="121" width="12.85546875" style="41" customWidth="1"/>
    <col min="122" max="122" width="12.85546875" style="6" customWidth="1"/>
    <col min="123" max="126" width="12.85546875" style="38" customWidth="1"/>
    <col min="127" max="127" width="12.85546875" style="6" customWidth="1"/>
    <col min="128" max="130" width="12.85546875" style="38" customWidth="1"/>
    <col min="131" max="131" width="12.85546875" style="41" customWidth="1"/>
    <col min="132" max="132" width="12.85546875" style="6" customWidth="1"/>
    <col min="133" max="135" width="12.85546875" style="38" customWidth="1"/>
    <col min="136" max="136" width="12.85546875" style="41" customWidth="1"/>
    <col min="137" max="137" width="12.85546875" style="6" customWidth="1"/>
    <col min="138" max="140" width="12.85546875" style="38" customWidth="1"/>
    <col min="141" max="141" width="12.85546875" style="41" customWidth="1"/>
    <col min="142" max="145" width="12.85546875" style="38" customWidth="1"/>
    <col min="146" max="146" width="12.85546875" style="41" customWidth="1"/>
    <col min="147" max="147" width="12.85546875" style="6" customWidth="1"/>
    <col min="148" max="150" width="12.85546875" style="38" customWidth="1"/>
    <col min="151" max="151" width="12.85546875" style="41" customWidth="1"/>
    <col min="152" max="152" width="12.85546875" style="6" customWidth="1"/>
    <col min="153" max="155" width="12.85546875" style="38" customWidth="1"/>
    <col min="156" max="156" width="12.85546875" style="41" customWidth="1"/>
    <col min="157" max="16384" width="9.140625" style="38"/>
  </cols>
  <sheetData>
    <row r="1" spans="1:156" ht="53.25" x14ac:dyDescent="0.25">
      <c r="A1" s="51" t="s">
        <v>270</v>
      </c>
    </row>
    <row r="2" spans="1:156" x14ac:dyDescent="0.25">
      <c r="A2" s="39" t="s">
        <v>0</v>
      </c>
      <c r="B2" s="167" t="s">
        <v>1</v>
      </c>
      <c r="C2" s="167"/>
      <c r="D2" s="167"/>
      <c r="E2" s="167"/>
      <c r="F2" s="167"/>
      <c r="G2" s="167" t="s">
        <v>234</v>
      </c>
      <c r="H2" s="167"/>
      <c r="I2" s="167"/>
      <c r="J2" s="167"/>
      <c r="K2" s="167"/>
      <c r="L2" s="167" t="s">
        <v>2</v>
      </c>
      <c r="M2" s="167"/>
      <c r="N2" s="167"/>
      <c r="O2" s="167"/>
      <c r="P2" s="167"/>
      <c r="Q2" s="167" t="s">
        <v>3</v>
      </c>
      <c r="R2" s="167"/>
      <c r="S2" s="167"/>
      <c r="T2" s="167"/>
      <c r="U2" s="167"/>
      <c r="V2" s="167" t="s">
        <v>243</v>
      </c>
      <c r="W2" s="167"/>
      <c r="X2" s="167"/>
      <c r="Y2" s="167"/>
      <c r="Z2" s="167"/>
      <c r="AA2" s="168" t="s">
        <v>235</v>
      </c>
      <c r="AB2" s="169"/>
      <c r="AC2" s="169"/>
      <c r="AD2" s="169"/>
      <c r="AE2" s="170"/>
      <c r="AF2" s="168" t="s">
        <v>5</v>
      </c>
      <c r="AG2" s="169"/>
      <c r="AH2" s="169"/>
      <c r="AI2" s="169"/>
      <c r="AJ2" s="170"/>
      <c r="AK2" s="168" t="s">
        <v>4</v>
      </c>
      <c r="AL2" s="169"/>
      <c r="AM2" s="169"/>
      <c r="AN2" s="169"/>
      <c r="AO2" s="170"/>
      <c r="AP2" s="168" t="s">
        <v>6</v>
      </c>
      <c r="AQ2" s="169"/>
      <c r="AR2" s="169"/>
      <c r="AS2" s="169"/>
      <c r="AT2" s="170"/>
      <c r="AU2" s="168" t="s">
        <v>246</v>
      </c>
      <c r="AV2" s="169"/>
      <c r="AW2" s="169"/>
      <c r="AX2" s="169"/>
      <c r="AY2" s="170"/>
      <c r="AZ2" s="168" t="s">
        <v>7</v>
      </c>
      <c r="BA2" s="169"/>
      <c r="BB2" s="169"/>
      <c r="BC2" s="169"/>
      <c r="BD2" s="170"/>
      <c r="BE2" s="168" t="s">
        <v>8</v>
      </c>
      <c r="BF2" s="169"/>
      <c r="BG2" s="169"/>
      <c r="BH2" s="169"/>
      <c r="BI2" s="170"/>
      <c r="BJ2" s="168" t="s">
        <v>9</v>
      </c>
      <c r="BK2" s="169"/>
      <c r="BL2" s="169"/>
      <c r="BM2" s="169"/>
      <c r="BN2" s="170"/>
      <c r="BO2" s="168" t="s">
        <v>242</v>
      </c>
      <c r="BP2" s="169"/>
      <c r="BQ2" s="169"/>
      <c r="BR2" s="169"/>
      <c r="BS2" s="170"/>
      <c r="BT2" s="168" t="s">
        <v>10</v>
      </c>
      <c r="BU2" s="169"/>
      <c r="BV2" s="169"/>
      <c r="BW2" s="169"/>
      <c r="BX2" s="170"/>
      <c r="BY2" s="168" t="s">
        <v>11</v>
      </c>
      <c r="BZ2" s="169"/>
      <c r="CA2" s="169"/>
      <c r="CB2" s="169"/>
      <c r="CC2" s="170"/>
      <c r="CD2" s="168" t="s">
        <v>236</v>
      </c>
      <c r="CE2" s="169"/>
      <c r="CF2" s="169"/>
      <c r="CG2" s="169"/>
      <c r="CH2" s="170"/>
      <c r="CI2" s="168" t="s">
        <v>245</v>
      </c>
      <c r="CJ2" s="169"/>
      <c r="CK2" s="169"/>
      <c r="CL2" s="169"/>
      <c r="CM2" s="170"/>
      <c r="CN2" s="168" t="s">
        <v>12</v>
      </c>
      <c r="CO2" s="169"/>
      <c r="CP2" s="169"/>
      <c r="CQ2" s="169"/>
      <c r="CR2" s="170"/>
      <c r="CS2" s="168" t="s">
        <v>237</v>
      </c>
      <c r="CT2" s="169"/>
      <c r="CU2" s="169"/>
      <c r="CV2" s="169"/>
      <c r="CW2" s="170"/>
      <c r="CX2" s="168" t="s">
        <v>238</v>
      </c>
      <c r="CY2" s="169"/>
      <c r="CZ2" s="169"/>
      <c r="DA2" s="169"/>
      <c r="DB2" s="170"/>
      <c r="DC2" s="168" t="s">
        <v>241</v>
      </c>
      <c r="DD2" s="169"/>
      <c r="DE2" s="169"/>
      <c r="DF2" s="169"/>
      <c r="DG2" s="170"/>
      <c r="DH2" s="167" t="s">
        <v>13</v>
      </c>
      <c r="DI2" s="167"/>
      <c r="DJ2" s="167"/>
      <c r="DK2" s="167"/>
      <c r="DL2" s="167"/>
      <c r="DM2" s="167" t="s">
        <v>14</v>
      </c>
      <c r="DN2" s="167"/>
      <c r="DO2" s="167"/>
      <c r="DP2" s="167"/>
      <c r="DQ2" s="167"/>
      <c r="DR2" s="167" t="s">
        <v>15</v>
      </c>
      <c r="DS2" s="167"/>
      <c r="DT2" s="167"/>
      <c r="DU2" s="167"/>
      <c r="DV2" s="167"/>
      <c r="DW2" s="167" t="s">
        <v>16</v>
      </c>
      <c r="DX2" s="167"/>
      <c r="DY2" s="167"/>
      <c r="DZ2" s="167"/>
      <c r="EA2" s="167"/>
      <c r="EB2" s="167" t="s">
        <v>17</v>
      </c>
      <c r="EC2" s="167"/>
      <c r="ED2" s="167"/>
      <c r="EE2" s="167"/>
      <c r="EF2" s="167"/>
      <c r="EG2" s="167" t="s">
        <v>239</v>
      </c>
      <c r="EH2" s="167"/>
      <c r="EI2" s="167"/>
      <c r="EJ2" s="167"/>
      <c r="EK2" s="167"/>
      <c r="EL2" s="167" t="s">
        <v>240</v>
      </c>
      <c r="EM2" s="167"/>
      <c r="EN2" s="167"/>
      <c r="EO2" s="167"/>
      <c r="EP2" s="167"/>
      <c r="EQ2" s="167" t="s">
        <v>18</v>
      </c>
      <c r="ER2" s="167"/>
      <c r="ES2" s="167"/>
      <c r="ET2" s="167"/>
      <c r="EU2" s="167"/>
      <c r="EV2" s="167" t="s">
        <v>19</v>
      </c>
      <c r="EW2" s="167"/>
      <c r="EX2" s="167"/>
      <c r="EY2" s="167"/>
      <c r="EZ2" s="167"/>
    </row>
    <row r="3" spans="1:156" ht="15" customHeight="1" x14ac:dyDescent="0.25">
      <c r="A3" s="163" t="s">
        <v>146</v>
      </c>
      <c r="B3" s="165" t="s">
        <v>140</v>
      </c>
      <c r="C3" s="163" t="s">
        <v>141</v>
      </c>
      <c r="D3" s="163"/>
      <c r="E3" s="163"/>
      <c r="F3" s="164" t="s">
        <v>142</v>
      </c>
      <c r="G3" s="165" t="s">
        <v>140</v>
      </c>
      <c r="H3" s="163" t="s">
        <v>141</v>
      </c>
      <c r="I3" s="163"/>
      <c r="J3" s="163"/>
      <c r="K3" s="164" t="s">
        <v>142</v>
      </c>
      <c r="L3" s="165" t="s">
        <v>140</v>
      </c>
      <c r="M3" s="163" t="s">
        <v>141</v>
      </c>
      <c r="N3" s="163"/>
      <c r="O3" s="163"/>
      <c r="P3" s="163" t="s">
        <v>142</v>
      </c>
      <c r="Q3" s="165" t="s">
        <v>140</v>
      </c>
      <c r="R3" s="163" t="s">
        <v>141</v>
      </c>
      <c r="S3" s="163"/>
      <c r="T3" s="163"/>
      <c r="U3" s="164" t="s">
        <v>142</v>
      </c>
      <c r="V3" s="165" t="s">
        <v>140</v>
      </c>
      <c r="W3" s="163" t="s">
        <v>141</v>
      </c>
      <c r="X3" s="163"/>
      <c r="Y3" s="163"/>
      <c r="Z3" s="164" t="s">
        <v>142</v>
      </c>
      <c r="AA3" s="165" t="s">
        <v>140</v>
      </c>
      <c r="AB3" s="163" t="s">
        <v>141</v>
      </c>
      <c r="AC3" s="163"/>
      <c r="AD3" s="163"/>
      <c r="AE3" s="164" t="s">
        <v>142</v>
      </c>
      <c r="AF3" s="163" t="s">
        <v>140</v>
      </c>
      <c r="AG3" s="163" t="s">
        <v>141</v>
      </c>
      <c r="AH3" s="163"/>
      <c r="AI3" s="163"/>
      <c r="AJ3" s="164" t="s">
        <v>142</v>
      </c>
      <c r="AK3" s="165" t="s">
        <v>140</v>
      </c>
      <c r="AL3" s="163" t="s">
        <v>141</v>
      </c>
      <c r="AM3" s="163"/>
      <c r="AN3" s="163"/>
      <c r="AO3" s="164" t="s">
        <v>142</v>
      </c>
      <c r="AP3" s="165" t="s">
        <v>140</v>
      </c>
      <c r="AQ3" s="163" t="s">
        <v>141</v>
      </c>
      <c r="AR3" s="163"/>
      <c r="AS3" s="163"/>
      <c r="AT3" s="164" t="s">
        <v>142</v>
      </c>
      <c r="AU3" s="165" t="s">
        <v>140</v>
      </c>
      <c r="AV3" s="163" t="s">
        <v>141</v>
      </c>
      <c r="AW3" s="163"/>
      <c r="AX3" s="163"/>
      <c r="AY3" s="164" t="s">
        <v>142</v>
      </c>
      <c r="AZ3" s="165" t="s">
        <v>140</v>
      </c>
      <c r="BA3" s="163" t="s">
        <v>141</v>
      </c>
      <c r="BB3" s="163"/>
      <c r="BC3" s="163"/>
      <c r="BD3" s="164" t="s">
        <v>142</v>
      </c>
      <c r="BE3" s="165" t="s">
        <v>140</v>
      </c>
      <c r="BF3" s="163" t="s">
        <v>141</v>
      </c>
      <c r="BG3" s="163"/>
      <c r="BH3" s="163"/>
      <c r="BI3" s="164" t="s">
        <v>142</v>
      </c>
      <c r="BJ3" s="165" t="s">
        <v>140</v>
      </c>
      <c r="BK3" s="163" t="s">
        <v>141</v>
      </c>
      <c r="BL3" s="163"/>
      <c r="BM3" s="163"/>
      <c r="BN3" s="164" t="s">
        <v>142</v>
      </c>
      <c r="BO3" s="165" t="s">
        <v>140</v>
      </c>
      <c r="BP3" s="163" t="s">
        <v>141</v>
      </c>
      <c r="BQ3" s="163"/>
      <c r="BR3" s="163"/>
      <c r="BS3" s="164" t="s">
        <v>142</v>
      </c>
      <c r="BT3" s="165" t="s">
        <v>140</v>
      </c>
      <c r="BU3" s="163" t="s">
        <v>141</v>
      </c>
      <c r="BV3" s="163"/>
      <c r="BW3" s="163"/>
      <c r="BX3" s="164" t="s">
        <v>142</v>
      </c>
      <c r="BY3" s="165" t="s">
        <v>140</v>
      </c>
      <c r="BZ3" s="163" t="s">
        <v>141</v>
      </c>
      <c r="CA3" s="163"/>
      <c r="CB3" s="163"/>
      <c r="CC3" s="164" t="s">
        <v>142</v>
      </c>
      <c r="CD3" s="165" t="s">
        <v>140</v>
      </c>
      <c r="CE3" s="163" t="s">
        <v>141</v>
      </c>
      <c r="CF3" s="163"/>
      <c r="CG3" s="163"/>
      <c r="CH3" s="164" t="s">
        <v>142</v>
      </c>
      <c r="CI3" s="165" t="s">
        <v>140</v>
      </c>
      <c r="CJ3" s="163" t="s">
        <v>141</v>
      </c>
      <c r="CK3" s="163"/>
      <c r="CL3" s="163"/>
      <c r="CM3" s="164" t="s">
        <v>142</v>
      </c>
      <c r="CN3" s="165" t="s">
        <v>140</v>
      </c>
      <c r="CO3" s="163" t="s">
        <v>141</v>
      </c>
      <c r="CP3" s="163"/>
      <c r="CQ3" s="163"/>
      <c r="CR3" s="166" t="s">
        <v>142</v>
      </c>
      <c r="CS3" s="165" t="s">
        <v>140</v>
      </c>
      <c r="CT3" s="163" t="s">
        <v>141</v>
      </c>
      <c r="CU3" s="163"/>
      <c r="CV3" s="163"/>
      <c r="CW3" s="164" t="s">
        <v>142</v>
      </c>
      <c r="CX3" s="165" t="s">
        <v>140</v>
      </c>
      <c r="CY3" s="163" t="s">
        <v>141</v>
      </c>
      <c r="CZ3" s="163"/>
      <c r="DA3" s="163"/>
      <c r="DB3" s="166" t="s">
        <v>142</v>
      </c>
      <c r="DC3" s="165" t="s">
        <v>140</v>
      </c>
      <c r="DD3" s="163" t="s">
        <v>141</v>
      </c>
      <c r="DE3" s="163"/>
      <c r="DF3" s="163"/>
      <c r="DG3" s="166" t="s">
        <v>142</v>
      </c>
      <c r="DH3" s="165" t="s">
        <v>140</v>
      </c>
      <c r="DI3" s="163" t="s">
        <v>141</v>
      </c>
      <c r="DJ3" s="163"/>
      <c r="DK3" s="163"/>
      <c r="DL3" s="164" t="s">
        <v>142</v>
      </c>
      <c r="DM3" s="165" t="s">
        <v>140</v>
      </c>
      <c r="DN3" s="163" t="s">
        <v>141</v>
      </c>
      <c r="DO3" s="163"/>
      <c r="DP3" s="163"/>
      <c r="DQ3" s="164" t="s">
        <v>142</v>
      </c>
      <c r="DR3" s="165" t="s">
        <v>140</v>
      </c>
      <c r="DS3" s="163" t="s">
        <v>141</v>
      </c>
      <c r="DT3" s="163"/>
      <c r="DU3" s="163"/>
      <c r="DV3" s="166" t="s">
        <v>142</v>
      </c>
      <c r="DW3" s="165" t="s">
        <v>140</v>
      </c>
      <c r="DX3" s="163" t="s">
        <v>141</v>
      </c>
      <c r="DY3" s="163"/>
      <c r="DZ3" s="163"/>
      <c r="EA3" s="164" t="s">
        <v>142</v>
      </c>
      <c r="EB3" s="165" t="s">
        <v>140</v>
      </c>
      <c r="EC3" s="163" t="s">
        <v>141</v>
      </c>
      <c r="ED3" s="163"/>
      <c r="EE3" s="163"/>
      <c r="EF3" s="164" t="s">
        <v>142</v>
      </c>
      <c r="EG3" s="165" t="s">
        <v>140</v>
      </c>
      <c r="EH3" s="163" t="s">
        <v>141</v>
      </c>
      <c r="EI3" s="163"/>
      <c r="EJ3" s="163"/>
      <c r="EK3" s="164" t="s">
        <v>142</v>
      </c>
      <c r="EL3" s="163" t="s">
        <v>140</v>
      </c>
      <c r="EM3" s="163" t="s">
        <v>141</v>
      </c>
      <c r="EN3" s="163"/>
      <c r="EO3" s="163"/>
      <c r="EP3" s="164" t="s">
        <v>142</v>
      </c>
      <c r="EQ3" s="165" t="s">
        <v>140</v>
      </c>
      <c r="ER3" s="163" t="s">
        <v>141</v>
      </c>
      <c r="ES3" s="163"/>
      <c r="ET3" s="163"/>
      <c r="EU3" s="164" t="s">
        <v>142</v>
      </c>
      <c r="EV3" s="165" t="s">
        <v>140</v>
      </c>
      <c r="EW3" s="163" t="s">
        <v>141</v>
      </c>
      <c r="EX3" s="163"/>
      <c r="EY3" s="163"/>
      <c r="EZ3" s="164" t="s">
        <v>142</v>
      </c>
    </row>
    <row r="4" spans="1:156" ht="30" x14ac:dyDescent="0.25">
      <c r="A4" s="163"/>
      <c r="B4" s="165"/>
      <c r="C4" s="16" t="s">
        <v>143</v>
      </c>
      <c r="D4" s="16" t="s">
        <v>144</v>
      </c>
      <c r="E4" s="16" t="s">
        <v>145</v>
      </c>
      <c r="F4" s="164"/>
      <c r="G4" s="165"/>
      <c r="H4" s="16" t="s">
        <v>143</v>
      </c>
      <c r="I4" s="16" t="s">
        <v>144</v>
      </c>
      <c r="J4" s="16" t="s">
        <v>145</v>
      </c>
      <c r="K4" s="164"/>
      <c r="L4" s="165"/>
      <c r="M4" s="16" t="s">
        <v>143</v>
      </c>
      <c r="N4" s="16" t="s">
        <v>144</v>
      </c>
      <c r="O4" s="16" t="s">
        <v>145</v>
      </c>
      <c r="P4" s="163"/>
      <c r="Q4" s="165"/>
      <c r="R4" s="16" t="s">
        <v>143</v>
      </c>
      <c r="S4" s="16" t="s">
        <v>144</v>
      </c>
      <c r="T4" s="16" t="s">
        <v>145</v>
      </c>
      <c r="U4" s="164"/>
      <c r="V4" s="165"/>
      <c r="W4" s="16" t="s">
        <v>143</v>
      </c>
      <c r="X4" s="16" t="s">
        <v>144</v>
      </c>
      <c r="Y4" s="16" t="s">
        <v>145</v>
      </c>
      <c r="Z4" s="164"/>
      <c r="AA4" s="165"/>
      <c r="AB4" s="16" t="s">
        <v>143</v>
      </c>
      <c r="AC4" s="16" t="s">
        <v>144</v>
      </c>
      <c r="AD4" s="16" t="s">
        <v>145</v>
      </c>
      <c r="AE4" s="164"/>
      <c r="AF4" s="163"/>
      <c r="AG4" s="16" t="s">
        <v>143</v>
      </c>
      <c r="AH4" s="16" t="s">
        <v>144</v>
      </c>
      <c r="AI4" s="16" t="s">
        <v>145</v>
      </c>
      <c r="AJ4" s="164"/>
      <c r="AK4" s="165"/>
      <c r="AL4" s="16" t="s">
        <v>143</v>
      </c>
      <c r="AM4" s="16" t="s">
        <v>144</v>
      </c>
      <c r="AN4" s="16" t="s">
        <v>145</v>
      </c>
      <c r="AO4" s="164"/>
      <c r="AP4" s="165"/>
      <c r="AQ4" s="16" t="s">
        <v>143</v>
      </c>
      <c r="AR4" s="16" t="s">
        <v>144</v>
      </c>
      <c r="AS4" s="16" t="s">
        <v>145</v>
      </c>
      <c r="AT4" s="164"/>
      <c r="AU4" s="165"/>
      <c r="AV4" s="16" t="s">
        <v>143</v>
      </c>
      <c r="AW4" s="16" t="s">
        <v>144</v>
      </c>
      <c r="AX4" s="16" t="s">
        <v>145</v>
      </c>
      <c r="AY4" s="164"/>
      <c r="AZ4" s="165"/>
      <c r="BA4" s="16" t="s">
        <v>143</v>
      </c>
      <c r="BB4" s="16" t="s">
        <v>144</v>
      </c>
      <c r="BC4" s="16" t="s">
        <v>145</v>
      </c>
      <c r="BD4" s="164"/>
      <c r="BE4" s="165"/>
      <c r="BF4" s="16" t="s">
        <v>143</v>
      </c>
      <c r="BG4" s="16" t="s">
        <v>144</v>
      </c>
      <c r="BH4" s="16" t="s">
        <v>145</v>
      </c>
      <c r="BI4" s="164"/>
      <c r="BJ4" s="165"/>
      <c r="BK4" s="16" t="s">
        <v>143</v>
      </c>
      <c r="BL4" s="16" t="s">
        <v>144</v>
      </c>
      <c r="BM4" s="16" t="s">
        <v>145</v>
      </c>
      <c r="BN4" s="164"/>
      <c r="BO4" s="165"/>
      <c r="BP4" s="16" t="s">
        <v>143</v>
      </c>
      <c r="BQ4" s="16" t="s">
        <v>144</v>
      </c>
      <c r="BR4" s="16" t="s">
        <v>145</v>
      </c>
      <c r="BS4" s="164"/>
      <c r="BT4" s="165"/>
      <c r="BU4" s="16" t="s">
        <v>143</v>
      </c>
      <c r="BV4" s="16" t="s">
        <v>144</v>
      </c>
      <c r="BW4" s="16" t="s">
        <v>145</v>
      </c>
      <c r="BX4" s="164"/>
      <c r="BY4" s="165"/>
      <c r="BZ4" s="16" t="s">
        <v>143</v>
      </c>
      <c r="CA4" s="16" t="s">
        <v>144</v>
      </c>
      <c r="CB4" s="16" t="s">
        <v>145</v>
      </c>
      <c r="CC4" s="164"/>
      <c r="CD4" s="165"/>
      <c r="CE4" s="16" t="s">
        <v>143</v>
      </c>
      <c r="CF4" s="16" t="s">
        <v>144</v>
      </c>
      <c r="CG4" s="16" t="s">
        <v>145</v>
      </c>
      <c r="CH4" s="164"/>
      <c r="CI4" s="165"/>
      <c r="CJ4" s="16" t="s">
        <v>143</v>
      </c>
      <c r="CK4" s="16" t="s">
        <v>144</v>
      </c>
      <c r="CL4" s="16" t="s">
        <v>145</v>
      </c>
      <c r="CM4" s="164"/>
      <c r="CN4" s="165"/>
      <c r="CO4" s="16" t="s">
        <v>143</v>
      </c>
      <c r="CP4" s="16" t="s">
        <v>144</v>
      </c>
      <c r="CQ4" s="16" t="s">
        <v>145</v>
      </c>
      <c r="CR4" s="166"/>
      <c r="CS4" s="165"/>
      <c r="CT4" s="16" t="s">
        <v>143</v>
      </c>
      <c r="CU4" s="16" t="s">
        <v>144</v>
      </c>
      <c r="CV4" s="16" t="s">
        <v>145</v>
      </c>
      <c r="CW4" s="164"/>
      <c r="CX4" s="165"/>
      <c r="CY4" s="16" t="s">
        <v>143</v>
      </c>
      <c r="CZ4" s="16" t="s">
        <v>144</v>
      </c>
      <c r="DA4" s="16" t="s">
        <v>145</v>
      </c>
      <c r="DB4" s="166"/>
      <c r="DC4" s="165"/>
      <c r="DD4" s="16" t="s">
        <v>143</v>
      </c>
      <c r="DE4" s="16" t="s">
        <v>144</v>
      </c>
      <c r="DF4" s="16" t="s">
        <v>145</v>
      </c>
      <c r="DG4" s="166"/>
      <c r="DH4" s="165"/>
      <c r="DI4" s="16" t="s">
        <v>143</v>
      </c>
      <c r="DJ4" s="16" t="s">
        <v>144</v>
      </c>
      <c r="DK4" s="16" t="s">
        <v>145</v>
      </c>
      <c r="DL4" s="164"/>
      <c r="DM4" s="165"/>
      <c r="DN4" s="16" t="s">
        <v>143</v>
      </c>
      <c r="DO4" s="16" t="s">
        <v>144</v>
      </c>
      <c r="DP4" s="16" t="s">
        <v>145</v>
      </c>
      <c r="DQ4" s="164"/>
      <c r="DR4" s="165"/>
      <c r="DS4" s="16" t="s">
        <v>143</v>
      </c>
      <c r="DT4" s="16" t="s">
        <v>144</v>
      </c>
      <c r="DU4" s="16" t="s">
        <v>145</v>
      </c>
      <c r="DV4" s="166"/>
      <c r="DW4" s="165"/>
      <c r="DX4" s="16" t="s">
        <v>143</v>
      </c>
      <c r="DY4" s="16" t="s">
        <v>144</v>
      </c>
      <c r="DZ4" s="16" t="s">
        <v>145</v>
      </c>
      <c r="EA4" s="164"/>
      <c r="EB4" s="165"/>
      <c r="EC4" s="16" t="s">
        <v>143</v>
      </c>
      <c r="ED4" s="16" t="s">
        <v>144</v>
      </c>
      <c r="EE4" s="16" t="s">
        <v>145</v>
      </c>
      <c r="EF4" s="164"/>
      <c r="EG4" s="165"/>
      <c r="EH4" s="16" t="s">
        <v>143</v>
      </c>
      <c r="EI4" s="16" t="s">
        <v>144</v>
      </c>
      <c r="EJ4" s="16" t="s">
        <v>145</v>
      </c>
      <c r="EK4" s="164"/>
      <c r="EL4" s="163"/>
      <c r="EM4" s="16" t="s">
        <v>143</v>
      </c>
      <c r="EN4" s="16" t="s">
        <v>144</v>
      </c>
      <c r="EO4" s="16" t="s">
        <v>145</v>
      </c>
      <c r="EP4" s="164"/>
      <c r="EQ4" s="165"/>
      <c r="ER4" s="16" t="s">
        <v>143</v>
      </c>
      <c r="ES4" s="16" t="s">
        <v>144</v>
      </c>
      <c r="ET4" s="16" t="s">
        <v>145</v>
      </c>
      <c r="EU4" s="164"/>
      <c r="EV4" s="165"/>
      <c r="EW4" s="16" t="s">
        <v>143</v>
      </c>
      <c r="EX4" s="16" t="s">
        <v>144</v>
      </c>
      <c r="EY4" s="16" t="s">
        <v>145</v>
      </c>
      <c r="EZ4" s="164"/>
    </row>
    <row r="5" spans="1:156" x14ac:dyDescent="0.25">
      <c r="A5" s="111" t="s">
        <v>262</v>
      </c>
      <c r="B5" s="110"/>
      <c r="C5" s="16"/>
      <c r="D5" s="16"/>
      <c r="E5" s="16"/>
      <c r="F5" s="112"/>
      <c r="G5" s="110"/>
      <c r="H5" s="16"/>
      <c r="I5" s="16"/>
      <c r="J5" s="16"/>
      <c r="K5" s="112"/>
      <c r="L5" s="110"/>
      <c r="M5" s="16"/>
      <c r="N5" s="16"/>
      <c r="O5" s="16"/>
      <c r="P5" s="111"/>
      <c r="Q5" s="110"/>
      <c r="R5" s="16"/>
      <c r="S5" s="16"/>
      <c r="T5" s="16"/>
      <c r="U5" s="112"/>
      <c r="V5" s="110"/>
      <c r="W5" s="16"/>
      <c r="X5" s="16"/>
      <c r="Y5" s="16"/>
      <c r="Z5" s="112"/>
      <c r="AA5" s="110"/>
      <c r="AB5" s="16"/>
      <c r="AC5" s="16"/>
      <c r="AD5" s="16"/>
      <c r="AE5" s="112"/>
      <c r="AF5" s="111"/>
      <c r="AG5" s="16"/>
      <c r="AH5" s="16"/>
      <c r="AI5" s="16"/>
      <c r="AJ5" s="112"/>
      <c r="AK5" s="110"/>
      <c r="AL5" s="16"/>
      <c r="AM5" s="16"/>
      <c r="AN5" s="16"/>
      <c r="AO5" s="112"/>
      <c r="AP5" s="110"/>
      <c r="AQ5" s="16"/>
      <c r="AR5" s="16"/>
      <c r="AS5" s="16"/>
      <c r="AT5" s="112"/>
      <c r="AU5" s="110"/>
      <c r="AV5" s="16"/>
      <c r="AW5" s="16"/>
      <c r="AX5" s="16"/>
      <c r="AY5" s="112"/>
      <c r="AZ5" s="110"/>
      <c r="BA5" s="16"/>
      <c r="BB5" s="16"/>
      <c r="BC5" s="16"/>
      <c r="BD5" s="112"/>
      <c r="BE5" s="110"/>
      <c r="BF5" s="16"/>
      <c r="BG5" s="16"/>
      <c r="BH5" s="16"/>
      <c r="BI5" s="112"/>
      <c r="BJ5" s="110"/>
      <c r="BK5" s="16"/>
      <c r="BL5" s="16"/>
      <c r="BM5" s="16"/>
      <c r="BN5" s="112"/>
      <c r="BO5" s="110"/>
      <c r="BP5" s="16"/>
      <c r="BQ5" s="16"/>
      <c r="BR5" s="16"/>
      <c r="BS5" s="112"/>
      <c r="BT5" s="110"/>
      <c r="BU5" s="16"/>
      <c r="BV5" s="16"/>
      <c r="BW5" s="16"/>
      <c r="BX5" s="112"/>
      <c r="BY5" s="110"/>
      <c r="BZ5" s="16"/>
      <c r="CA5" s="16"/>
      <c r="CB5" s="16"/>
      <c r="CC5" s="112"/>
      <c r="CD5" s="110"/>
      <c r="CE5" s="16"/>
      <c r="CF5" s="16"/>
      <c r="CG5" s="16"/>
      <c r="CH5" s="112"/>
      <c r="CI5" s="110"/>
      <c r="CJ5" s="16"/>
      <c r="CK5" s="16"/>
      <c r="CL5" s="16"/>
      <c r="CM5" s="112"/>
      <c r="CN5" s="110"/>
      <c r="CO5" s="16"/>
      <c r="CP5" s="16"/>
      <c r="CQ5" s="16"/>
      <c r="CR5" s="113"/>
      <c r="CS5" s="110"/>
      <c r="CT5" s="16"/>
      <c r="CU5" s="16"/>
      <c r="CV5" s="16"/>
      <c r="CW5" s="112"/>
      <c r="CX5" s="110"/>
      <c r="CY5" s="16"/>
      <c r="CZ5" s="16"/>
      <c r="DA5" s="16"/>
      <c r="DB5" s="113"/>
      <c r="DC5" s="110"/>
      <c r="DD5" s="16"/>
      <c r="DE5" s="16"/>
      <c r="DF5" s="16"/>
      <c r="DG5" s="113"/>
      <c r="DH5" s="110"/>
      <c r="DI5" s="16"/>
      <c r="DJ5" s="16"/>
      <c r="DK5" s="16"/>
      <c r="DL5" s="112"/>
      <c r="DM5" s="110"/>
      <c r="DN5" s="16"/>
      <c r="DO5" s="16"/>
      <c r="DP5" s="16"/>
      <c r="DQ5" s="112"/>
      <c r="DR5" s="110"/>
      <c r="DS5" s="16"/>
      <c r="DT5" s="16"/>
      <c r="DU5" s="16"/>
      <c r="DV5" s="113"/>
      <c r="DW5" s="110"/>
      <c r="DX5" s="16"/>
      <c r="DY5" s="16"/>
      <c r="DZ5" s="16"/>
      <c r="EA5" s="112"/>
      <c r="EB5" s="110"/>
      <c r="EC5" s="16"/>
      <c r="ED5" s="16"/>
      <c r="EE5" s="16"/>
      <c r="EF5" s="112"/>
      <c r="EG5" s="110"/>
      <c r="EH5" s="16"/>
      <c r="EI5" s="16"/>
      <c r="EJ5" s="16"/>
      <c r="EK5" s="112"/>
      <c r="EL5" s="111"/>
      <c r="EM5" s="16"/>
      <c r="EN5" s="16"/>
      <c r="EO5" s="16"/>
      <c r="EP5" s="112"/>
      <c r="EQ5" s="110"/>
      <c r="ER5" s="16"/>
      <c r="ES5" s="16"/>
      <c r="ET5" s="16"/>
      <c r="EU5" s="112"/>
      <c r="EV5" s="110"/>
      <c r="EW5" s="16"/>
      <c r="EX5" s="16"/>
      <c r="EY5" s="16"/>
      <c r="EZ5" s="112"/>
    </row>
    <row r="6" spans="1:156" x14ac:dyDescent="0.25">
      <c r="A6" s="17" t="s">
        <v>147</v>
      </c>
      <c r="B6" s="76"/>
      <c r="C6" s="77"/>
      <c r="D6" s="77"/>
      <c r="E6" s="17"/>
      <c r="F6" s="35"/>
      <c r="G6" s="9"/>
      <c r="H6" s="17"/>
      <c r="I6" s="17"/>
      <c r="J6" s="17"/>
      <c r="K6" s="35"/>
      <c r="L6" s="9"/>
      <c r="M6" s="17"/>
      <c r="N6" s="17"/>
      <c r="O6" s="17"/>
      <c r="P6" s="17"/>
      <c r="Q6" s="9"/>
      <c r="R6" s="91" t="s">
        <v>316</v>
      </c>
      <c r="S6" s="91" t="s">
        <v>316</v>
      </c>
      <c r="T6" s="91" t="s">
        <v>316</v>
      </c>
      <c r="U6" s="35"/>
      <c r="V6" s="9"/>
      <c r="W6" s="17"/>
      <c r="X6" s="17"/>
      <c r="Y6" s="17"/>
      <c r="Z6" s="35"/>
      <c r="AA6" s="9"/>
      <c r="AB6" s="17"/>
      <c r="AC6" s="17"/>
      <c r="AD6" s="17"/>
      <c r="AE6" s="35"/>
      <c r="AF6" s="9"/>
      <c r="AG6" s="17"/>
      <c r="AH6" s="17"/>
      <c r="AI6" s="17"/>
      <c r="AJ6" s="35"/>
      <c r="AK6" s="9"/>
      <c r="AL6" s="17"/>
      <c r="AM6" s="17"/>
      <c r="AN6" s="17"/>
      <c r="AO6" s="35"/>
      <c r="AP6" s="76"/>
      <c r="AQ6" s="17"/>
      <c r="AR6" s="17"/>
      <c r="AS6" s="76"/>
      <c r="AT6" s="35"/>
      <c r="AU6" s="9"/>
      <c r="AV6" s="17"/>
      <c r="AW6" s="17"/>
      <c r="AX6" s="17"/>
      <c r="AY6" s="35"/>
      <c r="AZ6" s="9"/>
      <c r="BA6" s="17"/>
      <c r="BB6" s="17"/>
      <c r="BC6" s="17"/>
      <c r="BD6" s="35"/>
      <c r="BE6" s="9"/>
      <c r="BF6" s="17"/>
      <c r="BG6" s="17"/>
      <c r="BH6" s="17"/>
      <c r="BI6" s="35"/>
      <c r="BJ6" s="9"/>
      <c r="BK6" s="17"/>
      <c r="BL6" s="17"/>
      <c r="BM6" s="17"/>
      <c r="BN6" s="35"/>
      <c r="BO6" s="9"/>
      <c r="BP6" s="17"/>
      <c r="BQ6" s="17"/>
      <c r="BR6" s="17"/>
      <c r="BS6" s="35"/>
      <c r="BT6" s="9"/>
      <c r="BU6" s="17"/>
      <c r="BV6" s="17"/>
      <c r="BW6" s="17"/>
      <c r="BX6" s="35"/>
      <c r="BY6" s="9"/>
      <c r="BZ6" s="17"/>
      <c r="CA6" s="17"/>
      <c r="CB6" s="17"/>
      <c r="CC6" s="35"/>
      <c r="CD6" s="9"/>
      <c r="CE6" s="17"/>
      <c r="CF6" s="17"/>
      <c r="CG6" s="17"/>
      <c r="CH6" s="35"/>
      <c r="CI6" s="9"/>
      <c r="CJ6" s="17"/>
      <c r="CK6" s="17"/>
      <c r="CL6" s="17"/>
      <c r="CM6" s="35"/>
      <c r="CN6" s="9"/>
      <c r="CO6" s="17"/>
      <c r="CP6" s="17"/>
      <c r="CQ6" s="17"/>
      <c r="CR6" s="17"/>
      <c r="CS6" s="9"/>
      <c r="CT6" s="17"/>
      <c r="CU6" s="17"/>
      <c r="CV6" s="17"/>
      <c r="CW6" s="35"/>
      <c r="CX6" s="9"/>
      <c r="CY6" s="17"/>
      <c r="CZ6" s="17"/>
      <c r="DA6" s="17"/>
      <c r="DB6" s="35"/>
      <c r="DC6" s="9"/>
      <c r="DD6" s="17"/>
      <c r="DE6" s="17"/>
      <c r="DF6" s="17"/>
      <c r="DG6" s="17"/>
      <c r="DH6" s="9"/>
      <c r="DI6" s="17"/>
      <c r="DJ6" s="17"/>
      <c r="DK6" s="17"/>
      <c r="DL6" s="35"/>
      <c r="DM6" s="60"/>
      <c r="DN6" s="36"/>
      <c r="DO6" s="35"/>
      <c r="DP6" s="35"/>
      <c r="DQ6" s="35"/>
      <c r="DR6" s="9"/>
      <c r="DS6" s="17"/>
      <c r="DT6" s="17"/>
      <c r="DU6" s="17"/>
      <c r="DV6" s="17"/>
      <c r="DW6" s="9"/>
      <c r="DX6" s="17"/>
      <c r="DY6" s="17"/>
      <c r="DZ6" s="17"/>
      <c r="EA6" s="35"/>
      <c r="EB6" s="9"/>
      <c r="EC6" s="17"/>
      <c r="ED6" s="17"/>
      <c r="EE6" s="17"/>
      <c r="EF6" s="35"/>
      <c r="EG6" s="76"/>
      <c r="EH6" s="77"/>
      <c r="EI6" s="17"/>
      <c r="EJ6" s="77"/>
      <c r="EK6" s="35"/>
      <c r="EL6" s="17"/>
      <c r="EM6" s="17"/>
      <c r="EN6" s="17"/>
      <c r="EO6" s="17"/>
      <c r="EP6" s="35"/>
      <c r="EQ6" s="9">
        <v>5</v>
      </c>
      <c r="ER6" s="92">
        <v>141</v>
      </c>
      <c r="ES6" s="92">
        <v>10</v>
      </c>
      <c r="ET6" s="92">
        <v>152</v>
      </c>
      <c r="EU6" s="35">
        <v>1.6000000000000001E-3</v>
      </c>
      <c r="EV6" s="9"/>
      <c r="EW6" s="17"/>
      <c r="EX6" s="17"/>
      <c r="EY6" s="17"/>
      <c r="EZ6" s="35"/>
    </row>
    <row r="7" spans="1:156" x14ac:dyDescent="0.25">
      <c r="A7" s="17" t="s">
        <v>148</v>
      </c>
      <c r="B7" s="76">
        <v>1</v>
      </c>
      <c r="C7" s="17"/>
      <c r="D7" s="77"/>
      <c r="E7" s="77"/>
      <c r="F7" s="35"/>
      <c r="G7" s="9"/>
      <c r="H7" s="17"/>
      <c r="I7" s="17"/>
      <c r="J7" s="17"/>
      <c r="K7" s="35"/>
      <c r="L7" s="92">
        <v>8</v>
      </c>
      <c r="M7" s="91">
        <v>5434.5</v>
      </c>
      <c r="N7" s="91">
        <v>983.65</v>
      </c>
      <c r="O7" s="36"/>
      <c r="P7" s="35">
        <v>1.2699999999999999E-2</v>
      </c>
      <c r="Q7" s="92">
        <v>34</v>
      </c>
      <c r="R7" s="91">
        <v>15987.94</v>
      </c>
      <c r="S7">
        <v>200.58</v>
      </c>
      <c r="T7" s="91">
        <v>34198.33</v>
      </c>
      <c r="U7" s="34">
        <v>0.105</v>
      </c>
      <c r="V7" s="92"/>
      <c r="W7" s="92"/>
      <c r="X7" s="92"/>
      <c r="Y7" s="92"/>
      <c r="Z7" s="35"/>
      <c r="AA7" s="92">
        <v>3</v>
      </c>
      <c r="AB7" s="92">
        <v>5402</v>
      </c>
      <c r="AC7" s="92">
        <v>126</v>
      </c>
      <c r="AD7" s="17"/>
      <c r="AE7" s="35">
        <v>5.8799999999999998E-2</v>
      </c>
      <c r="AF7" s="76"/>
      <c r="AG7" s="77"/>
      <c r="AH7" s="17"/>
      <c r="AI7" s="17"/>
      <c r="AJ7" s="35"/>
      <c r="AK7" s="76"/>
      <c r="AL7" s="77"/>
      <c r="AM7" s="77"/>
      <c r="AN7" s="77"/>
      <c r="AO7" s="35"/>
      <c r="AP7" s="92">
        <v>2</v>
      </c>
      <c r="AQ7" s="92">
        <v>3203</v>
      </c>
      <c r="AR7" s="92">
        <v>419</v>
      </c>
      <c r="AS7" s="92">
        <v>292</v>
      </c>
      <c r="AT7" s="35">
        <v>3.4099999999999998E-2</v>
      </c>
      <c r="AU7" s="92">
        <v>2</v>
      </c>
      <c r="AV7" s="92">
        <v>13861</v>
      </c>
      <c r="AW7" s="92">
        <v>-44</v>
      </c>
      <c r="AX7" s="92">
        <v>14</v>
      </c>
      <c r="AY7" s="35">
        <v>0.17810000000000001</v>
      </c>
      <c r="AZ7" s="92">
        <v>17</v>
      </c>
      <c r="BA7" s="92">
        <v>1251</v>
      </c>
      <c r="BB7" s="92">
        <v>138</v>
      </c>
      <c r="BC7" s="92">
        <v>1372</v>
      </c>
      <c r="BD7" s="35">
        <v>5.7999999999999996E-3</v>
      </c>
      <c r="BE7" s="92">
        <v>35</v>
      </c>
      <c r="BF7" s="92">
        <v>24327</v>
      </c>
      <c r="BG7" s="92">
        <v>492</v>
      </c>
      <c r="BH7" s="92">
        <v>1948</v>
      </c>
      <c r="BI7" s="117">
        <v>7.0000000000000007E-2</v>
      </c>
      <c r="BJ7" s="92">
        <v>6</v>
      </c>
      <c r="BK7" s="91">
        <v>10431.370000000001</v>
      </c>
      <c r="BL7" s="91">
        <v>0.24</v>
      </c>
      <c r="BM7" s="91">
        <v>1536.73</v>
      </c>
      <c r="BN7" s="117">
        <v>0.06</v>
      </c>
      <c r="BO7" s="76"/>
      <c r="BP7" s="77"/>
      <c r="BQ7" s="77"/>
      <c r="BR7" s="77"/>
      <c r="BS7" s="35"/>
      <c r="BT7" s="92">
        <v>2</v>
      </c>
      <c r="BU7" s="91">
        <v>13.11</v>
      </c>
      <c r="BV7" s="77"/>
      <c r="BW7" s="17"/>
      <c r="BX7" s="35">
        <v>6.9999999999999999E-4</v>
      </c>
      <c r="BY7" s="92">
        <v>5</v>
      </c>
      <c r="BZ7" s="92">
        <v>5</v>
      </c>
      <c r="CA7" s="92">
        <v>2</v>
      </c>
      <c r="CB7" s="92">
        <v>31</v>
      </c>
      <c r="CC7" s="35"/>
      <c r="CD7" s="76"/>
      <c r="CE7" s="77"/>
      <c r="CF7" s="17"/>
      <c r="CG7" s="17"/>
      <c r="CH7" s="35"/>
      <c r="CI7" s="9"/>
      <c r="CJ7" s="17"/>
      <c r="CK7" s="17"/>
      <c r="CL7" s="17"/>
      <c r="CM7" s="35"/>
      <c r="CN7" s="92">
        <v>1</v>
      </c>
      <c r="CO7" s="17"/>
      <c r="CP7" s="17"/>
      <c r="CQ7" s="92">
        <v>4</v>
      </c>
      <c r="CR7" s="35"/>
      <c r="CS7" s="76"/>
      <c r="CT7" s="17"/>
      <c r="CU7" s="77"/>
      <c r="CV7" s="17"/>
      <c r="CW7" s="35"/>
      <c r="CX7" s="9"/>
      <c r="CY7" s="17"/>
      <c r="CZ7" s="17"/>
      <c r="DA7" s="17"/>
      <c r="DB7" s="35"/>
      <c r="DC7" s="92">
        <v>28</v>
      </c>
      <c r="DD7" s="91">
        <v>1493.55</v>
      </c>
      <c r="DE7" s="91">
        <v>430.42</v>
      </c>
      <c r="DF7" s="91">
        <v>1692.21</v>
      </c>
      <c r="DG7" s="35">
        <v>1.1299999999999999E-2</v>
      </c>
      <c r="DH7" s="92">
        <v>1</v>
      </c>
      <c r="DI7" s="91">
        <v>219.07</v>
      </c>
      <c r="DJ7" s="91">
        <v>42.02</v>
      </c>
      <c r="DK7" s="91"/>
      <c r="DL7" s="117">
        <v>0.02</v>
      </c>
      <c r="DM7" s="60">
        <v>5</v>
      </c>
      <c r="DN7" s="36">
        <v>32828.879999999997</v>
      </c>
      <c r="DO7" s="36">
        <v>0.46</v>
      </c>
      <c r="DP7" s="36">
        <v>0.45</v>
      </c>
      <c r="DQ7" s="35">
        <v>0.1002</v>
      </c>
      <c r="DR7" s="92">
        <v>8</v>
      </c>
      <c r="DS7" s="91">
        <v>608.98</v>
      </c>
      <c r="DT7" s="91">
        <v>308.51</v>
      </c>
      <c r="DU7" s="91">
        <v>156.52000000000001</v>
      </c>
      <c r="DV7" s="91">
        <v>9.7299999999999998E-2</v>
      </c>
      <c r="DW7" s="76"/>
      <c r="DX7" s="77"/>
      <c r="DY7" s="77"/>
      <c r="DZ7" s="77"/>
      <c r="EA7" s="35"/>
      <c r="EB7" s="92">
        <v>16</v>
      </c>
      <c r="EC7" s="92">
        <v>7925</v>
      </c>
      <c r="ED7" s="92">
        <v>523</v>
      </c>
      <c r="EE7" s="92">
        <v>739</v>
      </c>
      <c r="EF7" s="117">
        <v>0.04</v>
      </c>
      <c r="EG7" s="92">
        <v>13</v>
      </c>
      <c r="EH7" s="91">
        <v>17630.88</v>
      </c>
      <c r="EI7" s="91">
        <v>559.04</v>
      </c>
      <c r="EJ7" s="91">
        <v>4537.92</v>
      </c>
      <c r="EK7" s="35">
        <v>4.2099999999999999E-2</v>
      </c>
      <c r="EL7" s="92"/>
      <c r="EM7" s="91">
        <v>4119</v>
      </c>
      <c r="EN7" s="91">
        <v>17</v>
      </c>
      <c r="EO7" s="91">
        <v>427</v>
      </c>
      <c r="EP7" s="35">
        <v>2.5399999999999999E-2</v>
      </c>
      <c r="EQ7" s="9">
        <v>11</v>
      </c>
      <c r="ER7" s="92"/>
      <c r="ES7" s="92">
        <v>681</v>
      </c>
      <c r="ET7" s="92">
        <v>204</v>
      </c>
      <c r="EU7" s="35">
        <v>4.7999999999999996E-3</v>
      </c>
      <c r="EV7" s="92">
        <v>48</v>
      </c>
      <c r="EW7" s="91">
        <v>14953.62</v>
      </c>
      <c r="EX7" s="91">
        <v>1097.56</v>
      </c>
      <c r="EY7" s="91">
        <v>10785.33</v>
      </c>
      <c r="EZ7" s="117">
        <v>0.19</v>
      </c>
    </row>
    <row r="8" spans="1:156" x14ac:dyDescent="0.25">
      <c r="A8" s="17" t="s">
        <v>149</v>
      </c>
      <c r="B8" s="9"/>
      <c r="C8" s="17"/>
      <c r="D8" s="17"/>
      <c r="E8" s="17"/>
      <c r="F8" s="35"/>
      <c r="G8" s="76"/>
      <c r="H8" s="77"/>
      <c r="I8" s="91">
        <v>108</v>
      </c>
      <c r="J8" s="17"/>
      <c r="K8" s="35">
        <v>4.1000000000000003E-3</v>
      </c>
      <c r="L8" s="92">
        <v>59</v>
      </c>
      <c r="M8" s="91">
        <v>79883.199999999997</v>
      </c>
      <c r="N8" s="91">
        <v>10492.43</v>
      </c>
      <c r="O8" s="36">
        <v>75667.08</v>
      </c>
      <c r="P8" s="35">
        <v>0.32940000000000003</v>
      </c>
      <c r="Q8" s="92">
        <v>153</v>
      </c>
      <c r="R8" s="91">
        <v>83322.37</v>
      </c>
      <c r="S8" s="91">
        <v>2920.87</v>
      </c>
      <c r="T8" s="91">
        <v>55441.29</v>
      </c>
      <c r="U8" s="34">
        <v>0.29530000000000001</v>
      </c>
      <c r="V8" s="92"/>
      <c r="W8" s="92"/>
      <c r="X8" s="92"/>
      <c r="Y8" s="92"/>
      <c r="Z8" s="35"/>
      <c r="AA8" s="92">
        <v>49</v>
      </c>
      <c r="AB8" s="92">
        <v>5072</v>
      </c>
      <c r="AC8" s="92">
        <v>1057</v>
      </c>
      <c r="AD8" s="92">
        <v>6864</v>
      </c>
      <c r="AE8" s="35">
        <v>0.13819999999999999</v>
      </c>
      <c r="AF8" s="76">
        <v>4</v>
      </c>
      <c r="AG8" s="77">
        <v>1118</v>
      </c>
      <c r="AH8" s="77">
        <v>415</v>
      </c>
      <c r="AI8" s="77"/>
      <c r="AJ8" s="35">
        <v>0.1</v>
      </c>
      <c r="AK8" s="92">
        <v>3</v>
      </c>
      <c r="AL8" s="77"/>
      <c r="AM8" s="91">
        <v>145.44</v>
      </c>
      <c r="AN8" s="77"/>
      <c r="AO8" s="35">
        <v>0.02</v>
      </c>
      <c r="AP8" s="92">
        <v>60</v>
      </c>
      <c r="AQ8" s="92">
        <v>18216</v>
      </c>
      <c r="AR8" s="92">
        <v>1849</v>
      </c>
      <c r="AS8" s="92">
        <v>3770</v>
      </c>
      <c r="AT8" s="35">
        <v>0.20780000000000001</v>
      </c>
      <c r="AU8" s="92">
        <v>68</v>
      </c>
      <c r="AV8" s="92">
        <v>33795</v>
      </c>
      <c r="AW8" s="92">
        <v>-55</v>
      </c>
      <c r="AX8" s="92">
        <v>5066</v>
      </c>
      <c r="AY8" s="35">
        <v>0.49959999999999999</v>
      </c>
      <c r="AZ8" s="92">
        <v>114</v>
      </c>
      <c r="BA8" s="92">
        <v>32754</v>
      </c>
      <c r="BB8" s="92">
        <v>1586</v>
      </c>
      <c r="BC8" s="92">
        <v>10788</v>
      </c>
      <c r="BD8" s="35">
        <v>9.4200000000000006E-2</v>
      </c>
      <c r="BE8" s="92">
        <v>170</v>
      </c>
      <c r="BF8" s="92">
        <v>43296</v>
      </c>
      <c r="BG8" s="92">
        <v>5706</v>
      </c>
      <c r="BH8" s="92">
        <v>21364</v>
      </c>
      <c r="BI8" s="117">
        <v>0.17</v>
      </c>
      <c r="BJ8" s="92">
        <v>125</v>
      </c>
      <c r="BK8" s="91">
        <v>44807.58</v>
      </c>
      <c r="BL8" s="91">
        <v>3376.36</v>
      </c>
      <c r="BM8" s="91">
        <v>6973.66</v>
      </c>
      <c r="BN8" s="117">
        <v>0.27</v>
      </c>
      <c r="BO8" s="76"/>
      <c r="BP8" s="77"/>
      <c r="BQ8" s="77"/>
      <c r="BR8" s="77"/>
      <c r="BS8" s="35"/>
      <c r="BT8" s="92">
        <v>11</v>
      </c>
      <c r="BU8" s="91">
        <v>2305.96</v>
      </c>
      <c r="BV8" s="91">
        <v>967.96</v>
      </c>
      <c r="BW8" s="77"/>
      <c r="BX8" s="35">
        <v>0.1842</v>
      </c>
      <c r="BY8" s="92">
        <v>19</v>
      </c>
      <c r="BZ8" s="92">
        <v>10603</v>
      </c>
      <c r="CA8" s="92">
        <v>188</v>
      </c>
      <c r="CB8" s="92">
        <v>56</v>
      </c>
      <c r="CC8" s="117">
        <v>0.25</v>
      </c>
      <c r="CD8" s="76"/>
      <c r="CE8" s="77"/>
      <c r="CF8" s="17"/>
      <c r="CG8" s="17"/>
      <c r="CH8" s="35"/>
      <c r="CI8" s="9"/>
      <c r="CJ8" s="89"/>
      <c r="CK8" s="90"/>
      <c r="CL8" s="91"/>
      <c r="CM8" s="35"/>
      <c r="CN8" s="92">
        <v>148</v>
      </c>
      <c r="CO8" s="92">
        <v>4679</v>
      </c>
      <c r="CP8" s="92">
        <v>8801</v>
      </c>
      <c r="CQ8" s="92">
        <v>4373</v>
      </c>
      <c r="CR8" s="35">
        <v>0.1583</v>
      </c>
      <c r="CS8" s="92">
        <v>6</v>
      </c>
      <c r="CT8" s="92">
        <v>137</v>
      </c>
      <c r="CU8" s="92">
        <v>68</v>
      </c>
      <c r="CV8" s="77"/>
      <c r="CW8" s="35">
        <v>0.23280000000000001</v>
      </c>
      <c r="CX8" s="92">
        <v>1</v>
      </c>
      <c r="CY8" s="17"/>
      <c r="CZ8" s="91">
        <v>67.36</v>
      </c>
      <c r="DA8" s="17"/>
      <c r="DB8" s="35">
        <v>1.3599999999999999E-2</v>
      </c>
      <c r="DC8" s="92">
        <v>127</v>
      </c>
      <c r="DD8" s="91">
        <v>38717.07</v>
      </c>
      <c r="DE8" s="91">
        <v>4429.1099999999997</v>
      </c>
      <c r="DF8" s="91">
        <v>8187.9</v>
      </c>
      <c r="DG8" s="35">
        <v>0.16020000000000001</v>
      </c>
      <c r="DH8" s="92">
        <v>29</v>
      </c>
      <c r="DI8" s="91">
        <v>1482.71</v>
      </c>
      <c r="DJ8" s="91">
        <v>417.51</v>
      </c>
      <c r="DK8" s="91">
        <v>41.63</v>
      </c>
      <c r="DL8" s="117">
        <v>0.11</v>
      </c>
      <c r="DM8" s="60">
        <v>128</v>
      </c>
      <c r="DN8" s="36">
        <v>40943.97</v>
      </c>
      <c r="DO8" s="36">
        <v>3143.01</v>
      </c>
      <c r="DP8" s="36">
        <v>3439.4</v>
      </c>
      <c r="DQ8" s="35">
        <v>0.14510000000000001</v>
      </c>
      <c r="DR8" s="92">
        <v>7</v>
      </c>
      <c r="DS8" s="91">
        <v>518.46</v>
      </c>
      <c r="DT8" s="91">
        <v>164.51</v>
      </c>
      <c r="DU8" s="91"/>
      <c r="DV8" s="35">
        <v>6.1899999999999997E-2</v>
      </c>
      <c r="DW8" s="76"/>
      <c r="DX8" s="77"/>
      <c r="DY8" s="77"/>
      <c r="DZ8" s="77"/>
      <c r="EA8" s="35"/>
      <c r="EB8" s="92">
        <v>96</v>
      </c>
      <c r="EC8" s="92">
        <v>54314</v>
      </c>
      <c r="ED8" s="92">
        <v>3636</v>
      </c>
      <c r="EE8" s="92">
        <v>8460</v>
      </c>
      <c r="EF8" s="117">
        <v>0.3</v>
      </c>
      <c r="EG8" s="92">
        <v>193</v>
      </c>
      <c r="EH8" s="91">
        <v>6103.77</v>
      </c>
      <c r="EI8" s="91">
        <v>4969.62</v>
      </c>
      <c r="EJ8" s="91">
        <v>39156.06</v>
      </c>
      <c r="EK8" s="35">
        <v>9.3100000000000002E-2</v>
      </c>
      <c r="EL8" s="92"/>
      <c r="EM8" s="91">
        <v>8084</v>
      </c>
      <c r="EN8" s="91">
        <v>7617</v>
      </c>
      <c r="EO8" s="91">
        <v>8584</v>
      </c>
      <c r="EP8" s="35">
        <v>0.1353</v>
      </c>
      <c r="EQ8" s="9">
        <v>107</v>
      </c>
      <c r="ER8" s="92">
        <v>3168</v>
      </c>
      <c r="ES8" s="92">
        <v>7732</v>
      </c>
      <c r="ET8" s="92">
        <v>1674</v>
      </c>
      <c r="EU8" s="35">
        <v>6.8400000000000002E-2</v>
      </c>
      <c r="EV8" s="92">
        <v>17</v>
      </c>
      <c r="EW8" s="91">
        <v>12023.66</v>
      </c>
      <c r="EX8" s="91">
        <v>606.16</v>
      </c>
      <c r="EY8" s="91">
        <v>8011.37</v>
      </c>
      <c r="EZ8" s="117">
        <v>0.15</v>
      </c>
    </row>
    <row r="9" spans="1:156" x14ac:dyDescent="0.25">
      <c r="A9" s="17" t="s">
        <v>150</v>
      </c>
      <c r="B9" s="9"/>
      <c r="C9" s="77"/>
      <c r="D9" s="77"/>
      <c r="E9" s="77"/>
      <c r="F9" s="35"/>
      <c r="G9" s="76"/>
      <c r="H9" s="77"/>
      <c r="I9" s="91">
        <v>174</v>
      </c>
      <c r="J9" s="17"/>
      <c r="K9" s="35">
        <v>6.6E-3</v>
      </c>
      <c r="L9" s="92">
        <v>1</v>
      </c>
      <c r="M9" s="91">
        <v>2522.59</v>
      </c>
      <c r="N9" s="91">
        <v>120.1</v>
      </c>
      <c r="O9" s="34"/>
      <c r="P9" s="35">
        <v>5.1999999999999998E-3</v>
      </c>
      <c r="Q9" s="76"/>
      <c r="R9" s="91"/>
      <c r="S9" s="77"/>
      <c r="T9" s="77"/>
      <c r="U9" s="35"/>
      <c r="V9" s="76"/>
      <c r="W9" s="77"/>
      <c r="X9" s="17"/>
      <c r="Y9" s="17"/>
      <c r="Z9" s="35"/>
      <c r="AA9" s="92">
        <v>3</v>
      </c>
      <c r="AB9" s="92">
        <v>5</v>
      </c>
      <c r="AC9" s="92"/>
      <c r="AD9" s="17"/>
      <c r="AE9" s="35">
        <v>1E-4</v>
      </c>
      <c r="AF9" s="76"/>
      <c r="AG9" s="77"/>
      <c r="AH9" s="17"/>
      <c r="AI9" s="17"/>
      <c r="AJ9" s="35"/>
      <c r="AK9" s="92">
        <v>12</v>
      </c>
      <c r="AL9" s="91">
        <v>1.51</v>
      </c>
      <c r="AM9" s="77"/>
      <c r="AN9" s="77"/>
      <c r="AO9" s="35"/>
      <c r="AP9" s="92">
        <v>12</v>
      </c>
      <c r="AQ9" s="92">
        <v>3309</v>
      </c>
      <c r="AR9" s="92">
        <v>661</v>
      </c>
      <c r="AS9" s="92">
        <v>38</v>
      </c>
      <c r="AT9" s="35">
        <v>3.49E-2</v>
      </c>
      <c r="AU9" s="92">
        <v>3</v>
      </c>
      <c r="AV9" s="92">
        <v>16</v>
      </c>
      <c r="AW9" s="92">
        <v>6</v>
      </c>
      <c r="AX9" s="92">
        <v>6</v>
      </c>
      <c r="AY9" s="35">
        <v>4.0000000000000002E-4</v>
      </c>
      <c r="AZ9" s="92">
        <v>5</v>
      </c>
      <c r="BA9" s="92">
        <v>73</v>
      </c>
      <c r="BB9" s="92"/>
      <c r="BC9" s="92">
        <v>40</v>
      </c>
      <c r="BD9" s="35">
        <v>2.0000000000000001E-4</v>
      </c>
      <c r="BE9" s="92">
        <v>2</v>
      </c>
      <c r="BF9" s="92">
        <v>57</v>
      </c>
      <c r="BG9" s="92">
        <v>-1</v>
      </c>
      <c r="BH9" s="92">
        <v>36</v>
      </c>
      <c r="BI9" s="117"/>
      <c r="BJ9" s="92">
        <v>29</v>
      </c>
      <c r="BK9" s="91">
        <v>3151.85</v>
      </c>
      <c r="BL9" s="91">
        <v>445.95</v>
      </c>
      <c r="BM9" s="91">
        <v>90.06</v>
      </c>
      <c r="BN9" s="117">
        <v>0.02</v>
      </c>
      <c r="BO9" s="76"/>
      <c r="BP9" s="77"/>
      <c r="BQ9" s="77"/>
      <c r="BR9" s="77"/>
      <c r="BS9" s="35"/>
      <c r="BT9" s="76"/>
      <c r="BU9" s="77"/>
      <c r="BV9" s="77"/>
      <c r="BW9" s="77"/>
      <c r="BX9" s="35"/>
      <c r="BY9" s="92">
        <v>5</v>
      </c>
      <c r="BZ9" s="92">
        <v>8</v>
      </c>
      <c r="CA9" s="92">
        <v>2</v>
      </c>
      <c r="CB9" s="17"/>
      <c r="CC9" s="35"/>
      <c r="CD9" s="9"/>
      <c r="CE9" s="17"/>
      <c r="CF9" s="17"/>
      <c r="CG9" s="17"/>
      <c r="CH9" s="35"/>
      <c r="CI9" s="9"/>
      <c r="CJ9" s="89"/>
      <c r="CK9" s="90"/>
      <c r="CL9" s="91"/>
      <c r="CM9" s="35"/>
      <c r="CN9" s="92">
        <v>16</v>
      </c>
      <c r="CO9" s="92">
        <v>949</v>
      </c>
      <c r="CP9" s="92">
        <v>1667</v>
      </c>
      <c r="CQ9" s="92">
        <v>747</v>
      </c>
      <c r="CR9" s="35">
        <v>2.98E-2</v>
      </c>
      <c r="CS9" s="92">
        <v>7</v>
      </c>
      <c r="CT9" s="77"/>
      <c r="CU9" s="92">
        <v>18</v>
      </c>
      <c r="CV9" s="77"/>
      <c r="CW9" s="35">
        <v>2.0899999999999998E-2</v>
      </c>
      <c r="CX9" s="92">
        <v>1</v>
      </c>
      <c r="CY9" s="17"/>
      <c r="CZ9" s="91">
        <v>140.82</v>
      </c>
      <c r="DA9" s="17"/>
      <c r="DB9" s="35">
        <v>2.6499999999999999E-2</v>
      </c>
      <c r="DC9" s="76">
        <v>9</v>
      </c>
      <c r="DD9" s="91">
        <v>5009</v>
      </c>
      <c r="DE9" s="91">
        <v>499</v>
      </c>
      <c r="DF9" s="91">
        <v>843</v>
      </c>
      <c r="DG9" s="35">
        <v>1.9800000000000002E-2</v>
      </c>
      <c r="DH9" s="92">
        <v>13</v>
      </c>
      <c r="DI9" s="91">
        <v>499.21</v>
      </c>
      <c r="DJ9" s="91">
        <v>93.76</v>
      </c>
      <c r="DK9" s="91">
        <v>165.73</v>
      </c>
      <c r="DL9" s="117">
        <v>0.04</v>
      </c>
      <c r="DM9" s="60">
        <v>2</v>
      </c>
      <c r="DN9" s="36"/>
      <c r="DO9" s="36"/>
      <c r="DP9" s="36">
        <v>58.9</v>
      </c>
      <c r="DQ9" s="35">
        <v>2.0000000000000001E-4</v>
      </c>
      <c r="DR9" s="92">
        <v>11</v>
      </c>
      <c r="DS9" s="91">
        <v>334.13</v>
      </c>
      <c r="DT9" s="91">
        <v>150.80000000000001</v>
      </c>
      <c r="DU9" s="91">
        <v>16.079999999999998</v>
      </c>
      <c r="DV9" s="35">
        <v>4.5400000000000003E-2</v>
      </c>
      <c r="DW9" s="76"/>
      <c r="DX9" s="77"/>
      <c r="DY9" s="77"/>
      <c r="DZ9" s="77"/>
      <c r="EA9" s="35"/>
      <c r="EB9" s="92"/>
      <c r="EC9" s="92"/>
      <c r="ED9" s="92"/>
      <c r="EE9" s="92"/>
      <c r="EF9" s="35"/>
      <c r="EG9" s="92">
        <v>122</v>
      </c>
      <c r="EH9" s="91">
        <v>17988.47</v>
      </c>
      <c r="EI9" s="91">
        <v>8718.32</v>
      </c>
      <c r="EJ9" s="91">
        <v>16465.919999999998</v>
      </c>
      <c r="EK9" s="35">
        <v>0.08</v>
      </c>
      <c r="EL9" s="92"/>
      <c r="EM9" s="91">
        <v>21</v>
      </c>
      <c r="EN9" s="91">
        <v>9</v>
      </c>
      <c r="EO9" s="91">
        <v>2</v>
      </c>
      <c r="EP9" s="35">
        <v>2.0000000000000001E-4</v>
      </c>
      <c r="EQ9" s="9">
        <v>28</v>
      </c>
      <c r="ER9" s="92">
        <v>18037</v>
      </c>
      <c r="ES9" s="92">
        <v>2374</v>
      </c>
      <c r="ET9" s="92">
        <v>8845</v>
      </c>
      <c r="EU9" s="35">
        <v>0.15920000000000001</v>
      </c>
      <c r="EV9" s="92">
        <v>8</v>
      </c>
      <c r="EW9" s="91">
        <v>331.95</v>
      </c>
      <c r="EX9" s="91">
        <v>254.12</v>
      </c>
      <c r="EY9" s="91">
        <v>1269.02</v>
      </c>
      <c r="EZ9" s="117">
        <v>0.01</v>
      </c>
    </row>
    <row r="10" spans="1:156" x14ac:dyDescent="0.25">
      <c r="A10" s="17" t="s">
        <v>151</v>
      </c>
      <c r="B10" s="9"/>
      <c r="C10" s="17"/>
      <c r="D10" s="17"/>
      <c r="E10" s="17"/>
      <c r="F10" s="35"/>
      <c r="G10" s="9"/>
      <c r="H10" s="17"/>
      <c r="I10" s="17"/>
      <c r="J10" s="17"/>
      <c r="K10" s="35"/>
      <c r="L10" s="76"/>
      <c r="M10" s="77"/>
      <c r="N10" s="17"/>
      <c r="O10" s="34"/>
      <c r="P10" s="17"/>
      <c r="Q10" s="9"/>
      <c r="R10" s="17"/>
      <c r="S10" s="17"/>
      <c r="T10" s="17"/>
      <c r="U10" s="35"/>
      <c r="V10" s="9"/>
      <c r="W10" s="77"/>
      <c r="X10" s="17"/>
      <c r="Y10" s="17"/>
      <c r="Z10" s="35"/>
      <c r="AA10" s="92"/>
      <c r="AB10" s="91"/>
      <c r="AC10" s="91"/>
      <c r="AD10" s="17"/>
      <c r="AE10" s="35"/>
      <c r="AF10" s="9"/>
      <c r="AG10" s="17"/>
      <c r="AH10" s="17"/>
      <c r="AI10" s="17"/>
      <c r="AJ10" s="35"/>
      <c r="AK10" s="76"/>
      <c r="AL10" s="77"/>
      <c r="AM10" s="17"/>
      <c r="AN10" s="77"/>
      <c r="AO10" s="35"/>
      <c r="AP10" s="9"/>
      <c r="AQ10" s="17"/>
      <c r="AR10" s="17"/>
      <c r="AS10" s="17"/>
      <c r="AT10" s="35"/>
      <c r="AU10" s="9"/>
      <c r="AV10" s="17"/>
      <c r="AW10" s="17"/>
      <c r="AX10" s="17"/>
      <c r="AY10" s="35"/>
      <c r="AZ10" s="76"/>
      <c r="BA10" s="77"/>
      <c r="BB10" s="77"/>
      <c r="BC10" s="77"/>
      <c r="BD10" s="35"/>
      <c r="BE10" s="92">
        <v>11</v>
      </c>
      <c r="BF10" s="92">
        <v>120</v>
      </c>
      <c r="BG10" s="92">
        <v>1</v>
      </c>
      <c r="BH10" s="92">
        <v>15</v>
      </c>
      <c r="BI10" s="117"/>
      <c r="BJ10" s="9"/>
      <c r="BK10" s="17"/>
      <c r="BL10" s="17"/>
      <c r="BM10" s="17"/>
      <c r="BN10" s="35"/>
      <c r="BO10" s="76"/>
      <c r="BP10" s="17"/>
      <c r="BQ10" s="17"/>
      <c r="BR10" s="17"/>
      <c r="BS10" s="35"/>
      <c r="BT10" s="92">
        <v>1</v>
      </c>
      <c r="BU10" s="91">
        <v>0.17</v>
      </c>
      <c r="BV10" s="17"/>
      <c r="BW10" s="17"/>
      <c r="BX10" s="35"/>
      <c r="BY10" s="92">
        <v>7</v>
      </c>
      <c r="BZ10" s="92">
        <v>6</v>
      </c>
      <c r="CA10" s="92">
        <v>1</v>
      </c>
      <c r="CB10" s="17"/>
      <c r="CC10" s="35"/>
      <c r="CD10" s="9"/>
      <c r="CE10" s="17"/>
      <c r="CF10" s="17"/>
      <c r="CG10" s="17"/>
      <c r="CH10" s="35"/>
      <c r="CI10" s="9"/>
      <c r="CJ10" s="89"/>
      <c r="CK10" s="90"/>
      <c r="CL10" s="91"/>
      <c r="CM10" s="35"/>
      <c r="CN10" s="92">
        <v>66</v>
      </c>
      <c r="CO10" s="92">
        <v>7704</v>
      </c>
      <c r="CP10" s="92">
        <v>4005</v>
      </c>
      <c r="CQ10" s="92">
        <v>1756</v>
      </c>
      <c r="CR10" s="35">
        <v>0.11940000000000001</v>
      </c>
      <c r="CS10" s="92">
        <v>5</v>
      </c>
      <c r="CT10" s="17"/>
      <c r="CU10" s="92">
        <v>53</v>
      </c>
      <c r="CV10" s="17"/>
      <c r="CW10" s="35">
        <v>6.0699999999999997E-2</v>
      </c>
      <c r="CX10" s="9"/>
      <c r="CY10" s="17"/>
      <c r="CZ10" s="17"/>
      <c r="DA10" s="17"/>
      <c r="DB10" s="35"/>
      <c r="DC10" s="9">
        <v>11</v>
      </c>
      <c r="DD10" s="91">
        <v>18326.91</v>
      </c>
      <c r="DE10" s="91">
        <v>1680.18</v>
      </c>
      <c r="DF10" s="91">
        <v>1690.96</v>
      </c>
      <c r="DG10" s="35">
        <v>6.7699999999999996E-2</v>
      </c>
      <c r="DH10" s="9"/>
      <c r="DI10" s="17"/>
      <c r="DJ10" s="17"/>
      <c r="DK10" s="17"/>
      <c r="DL10" s="35"/>
      <c r="DM10" s="60">
        <v>1</v>
      </c>
      <c r="DN10" s="36">
        <v>129.08000000000001</v>
      </c>
      <c r="DO10" s="36">
        <v>-0.03</v>
      </c>
      <c r="DP10" s="36"/>
      <c r="DQ10" s="35">
        <v>4.0000000000000002E-4</v>
      </c>
      <c r="DR10" s="92"/>
      <c r="DS10" s="91"/>
      <c r="DT10" s="91"/>
      <c r="DU10" s="91"/>
      <c r="DV10" s="35"/>
      <c r="DW10" s="76"/>
      <c r="DX10" s="77"/>
      <c r="DY10" s="77"/>
      <c r="DZ10" s="77"/>
      <c r="EA10" s="35"/>
      <c r="EB10" s="92">
        <v>1</v>
      </c>
      <c r="EC10" s="92">
        <v>34</v>
      </c>
      <c r="ED10" s="92"/>
      <c r="EE10" s="92">
        <v>-2</v>
      </c>
      <c r="EF10" s="35"/>
      <c r="EG10" s="92">
        <v>24</v>
      </c>
      <c r="EH10" s="91">
        <v>5869.48</v>
      </c>
      <c r="EI10" s="91">
        <v>957.92</v>
      </c>
      <c r="EJ10" s="91">
        <v>192.76</v>
      </c>
      <c r="EK10" s="35">
        <v>1.2999999999999999E-2</v>
      </c>
      <c r="EL10" s="92"/>
      <c r="EM10" s="91">
        <v>4294</v>
      </c>
      <c r="EN10" s="91">
        <v>2514</v>
      </c>
      <c r="EO10" s="91">
        <v>310</v>
      </c>
      <c r="EP10" s="35">
        <v>3.9699999999999999E-2</v>
      </c>
      <c r="EQ10" s="9">
        <v>21</v>
      </c>
      <c r="ER10" s="92">
        <v>664</v>
      </c>
      <c r="ES10" s="92">
        <v>358</v>
      </c>
      <c r="ET10" s="92">
        <v>354</v>
      </c>
      <c r="EU10" s="35">
        <v>7.4999999999999997E-3</v>
      </c>
      <c r="EV10" s="92">
        <v>13</v>
      </c>
      <c r="EW10" s="91">
        <v>71.12</v>
      </c>
      <c r="EX10" s="91">
        <v>153.09</v>
      </c>
      <c r="EY10" s="91">
        <v>589.29999999999995</v>
      </c>
      <c r="EZ10" s="117">
        <v>0.01</v>
      </c>
    </row>
    <row r="11" spans="1:156" s="40" customFormat="1" x14ac:dyDescent="0.25">
      <c r="A11" s="19" t="s">
        <v>263</v>
      </c>
      <c r="B11" s="31">
        <f>B6+B7+B8+B9+B10</f>
        <v>1</v>
      </c>
      <c r="C11" s="31">
        <f t="shared" ref="C11:BN11" si="0">C6+C7+C8+C9+C10</f>
        <v>0</v>
      </c>
      <c r="D11" s="31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282</v>
      </c>
      <c r="J11" s="31">
        <f t="shared" si="0"/>
        <v>0</v>
      </c>
      <c r="K11" s="37">
        <f t="shared" si="0"/>
        <v>1.0700000000000001E-2</v>
      </c>
      <c r="L11" s="31">
        <f t="shared" si="0"/>
        <v>68</v>
      </c>
      <c r="M11" s="31">
        <f t="shared" si="0"/>
        <v>87840.29</v>
      </c>
      <c r="N11" s="31">
        <f t="shared" si="0"/>
        <v>11596.18</v>
      </c>
      <c r="O11" s="31">
        <f t="shared" si="0"/>
        <v>75667.08</v>
      </c>
      <c r="P11" s="37">
        <f t="shared" si="0"/>
        <v>0.3473</v>
      </c>
      <c r="Q11" s="31">
        <f>Q7+Q8</f>
        <v>187</v>
      </c>
      <c r="R11" s="19">
        <f>R7+R8</f>
        <v>99310.31</v>
      </c>
      <c r="S11" s="19">
        <f t="shared" ref="S11:T11" si="1">S7+S8</f>
        <v>3121.45</v>
      </c>
      <c r="T11" s="19">
        <f t="shared" si="1"/>
        <v>89639.62</v>
      </c>
      <c r="U11" s="37">
        <f t="shared" si="0"/>
        <v>0.40029999999999999</v>
      </c>
      <c r="V11" s="31">
        <f t="shared" si="0"/>
        <v>0</v>
      </c>
      <c r="W11" s="31">
        <f t="shared" si="0"/>
        <v>0</v>
      </c>
      <c r="X11" s="31">
        <f t="shared" si="0"/>
        <v>0</v>
      </c>
      <c r="Y11" s="31">
        <f t="shared" si="0"/>
        <v>0</v>
      </c>
      <c r="Z11" s="62">
        <f t="shared" si="0"/>
        <v>0</v>
      </c>
      <c r="AA11" s="31">
        <f t="shared" si="0"/>
        <v>55</v>
      </c>
      <c r="AB11" s="31">
        <f t="shared" si="0"/>
        <v>10479</v>
      </c>
      <c r="AC11" s="31">
        <f t="shared" si="0"/>
        <v>1183</v>
      </c>
      <c r="AD11" s="31">
        <f t="shared" si="0"/>
        <v>6864</v>
      </c>
      <c r="AE11" s="62">
        <f t="shared" si="0"/>
        <v>0.19709999999999997</v>
      </c>
      <c r="AF11" s="31">
        <f t="shared" si="0"/>
        <v>4</v>
      </c>
      <c r="AG11" s="31">
        <f t="shared" si="0"/>
        <v>1118</v>
      </c>
      <c r="AH11" s="31">
        <f t="shared" si="0"/>
        <v>415</v>
      </c>
      <c r="AI11" s="31">
        <f t="shared" si="0"/>
        <v>0</v>
      </c>
      <c r="AJ11" s="62">
        <f t="shared" si="0"/>
        <v>0.1</v>
      </c>
      <c r="AK11" s="31">
        <f t="shared" si="0"/>
        <v>15</v>
      </c>
      <c r="AL11" s="31">
        <f t="shared" si="0"/>
        <v>1.51</v>
      </c>
      <c r="AM11" s="31">
        <f t="shared" si="0"/>
        <v>145.44</v>
      </c>
      <c r="AN11" s="31">
        <f t="shared" si="0"/>
        <v>0</v>
      </c>
      <c r="AO11" s="62">
        <f t="shared" si="0"/>
        <v>0.02</v>
      </c>
      <c r="AP11" s="31">
        <f t="shared" si="0"/>
        <v>74</v>
      </c>
      <c r="AQ11" s="31">
        <f t="shared" si="0"/>
        <v>24728</v>
      </c>
      <c r="AR11" s="31">
        <f t="shared" si="0"/>
        <v>2929</v>
      </c>
      <c r="AS11" s="31">
        <f t="shared" si="0"/>
        <v>4100</v>
      </c>
      <c r="AT11" s="37">
        <f t="shared" si="0"/>
        <v>0.27679999999999999</v>
      </c>
      <c r="AU11" s="31">
        <f t="shared" si="0"/>
        <v>73</v>
      </c>
      <c r="AV11" s="31">
        <f t="shared" si="0"/>
        <v>47672</v>
      </c>
      <c r="AW11" s="31">
        <f t="shared" si="0"/>
        <v>-93</v>
      </c>
      <c r="AX11" s="31">
        <f t="shared" si="0"/>
        <v>5086</v>
      </c>
      <c r="AY11" s="37">
        <f t="shared" si="0"/>
        <v>0.67809999999999993</v>
      </c>
      <c r="AZ11" s="31">
        <f t="shared" si="0"/>
        <v>136</v>
      </c>
      <c r="BA11" s="31">
        <f t="shared" si="0"/>
        <v>34078</v>
      </c>
      <c r="BB11" s="31">
        <f t="shared" si="0"/>
        <v>1724</v>
      </c>
      <c r="BC11" s="31">
        <f t="shared" si="0"/>
        <v>12200</v>
      </c>
      <c r="BD11" s="37">
        <f t="shared" si="0"/>
        <v>0.10020000000000001</v>
      </c>
      <c r="BE11" s="31">
        <f t="shared" si="0"/>
        <v>218</v>
      </c>
      <c r="BF11" s="31">
        <f t="shared" si="0"/>
        <v>67800</v>
      </c>
      <c r="BG11" s="31">
        <f t="shared" si="0"/>
        <v>6198</v>
      </c>
      <c r="BH11" s="31">
        <f t="shared" si="0"/>
        <v>23363</v>
      </c>
      <c r="BI11" s="62">
        <f t="shared" si="0"/>
        <v>0.24000000000000002</v>
      </c>
      <c r="BJ11" s="31">
        <f t="shared" si="0"/>
        <v>160</v>
      </c>
      <c r="BK11" s="31">
        <f t="shared" si="0"/>
        <v>58390.8</v>
      </c>
      <c r="BL11" s="31">
        <f t="shared" si="0"/>
        <v>3822.5499999999997</v>
      </c>
      <c r="BM11" s="31">
        <f t="shared" si="0"/>
        <v>8600.4499999999989</v>
      </c>
      <c r="BN11" s="62">
        <f t="shared" si="0"/>
        <v>0.35000000000000003</v>
      </c>
      <c r="BO11" s="31">
        <f t="shared" ref="BO11:DZ11" si="2">BO6+BO7+BO8+BO9+BO10</f>
        <v>0</v>
      </c>
      <c r="BP11" s="31">
        <f t="shared" si="2"/>
        <v>0</v>
      </c>
      <c r="BQ11" s="31">
        <f t="shared" si="2"/>
        <v>0</v>
      </c>
      <c r="BR11" s="31">
        <f t="shared" si="2"/>
        <v>0</v>
      </c>
      <c r="BS11" s="31">
        <f t="shared" si="2"/>
        <v>0</v>
      </c>
      <c r="BT11" s="31">
        <f t="shared" si="2"/>
        <v>14</v>
      </c>
      <c r="BU11" s="31">
        <f t="shared" si="2"/>
        <v>2319.2400000000002</v>
      </c>
      <c r="BV11" s="31">
        <f t="shared" si="2"/>
        <v>967.96</v>
      </c>
      <c r="BW11" s="31">
        <f t="shared" si="2"/>
        <v>0</v>
      </c>
      <c r="BX11" s="37">
        <f t="shared" si="2"/>
        <v>0.18490000000000001</v>
      </c>
      <c r="BY11" s="31">
        <f t="shared" si="2"/>
        <v>36</v>
      </c>
      <c r="BZ11" s="31">
        <f t="shared" si="2"/>
        <v>10622</v>
      </c>
      <c r="CA11" s="31">
        <f t="shared" si="2"/>
        <v>193</v>
      </c>
      <c r="CB11" s="31">
        <f t="shared" si="2"/>
        <v>87</v>
      </c>
      <c r="CC11" s="62">
        <f t="shared" si="2"/>
        <v>0.25</v>
      </c>
      <c r="CD11" s="31">
        <f t="shared" si="2"/>
        <v>0</v>
      </c>
      <c r="CE11" s="31">
        <f t="shared" si="2"/>
        <v>0</v>
      </c>
      <c r="CF11" s="31">
        <f t="shared" si="2"/>
        <v>0</v>
      </c>
      <c r="CG11" s="31">
        <f t="shared" si="2"/>
        <v>0</v>
      </c>
      <c r="CH11" s="31">
        <f t="shared" si="2"/>
        <v>0</v>
      </c>
      <c r="CI11" s="31">
        <f t="shared" si="2"/>
        <v>0</v>
      </c>
      <c r="CJ11" s="31">
        <f t="shared" si="2"/>
        <v>0</v>
      </c>
      <c r="CK11" s="31">
        <f t="shared" si="2"/>
        <v>0</v>
      </c>
      <c r="CL11" s="31">
        <f t="shared" si="2"/>
        <v>0</v>
      </c>
      <c r="CM11" s="31">
        <f t="shared" si="2"/>
        <v>0</v>
      </c>
      <c r="CN11" s="31">
        <f t="shared" si="2"/>
        <v>231</v>
      </c>
      <c r="CO11" s="31">
        <f t="shared" si="2"/>
        <v>13332</v>
      </c>
      <c r="CP11" s="31">
        <f t="shared" si="2"/>
        <v>14473</v>
      </c>
      <c r="CQ11" s="31">
        <f t="shared" si="2"/>
        <v>6880</v>
      </c>
      <c r="CR11" s="37">
        <f t="shared" si="2"/>
        <v>0.3075</v>
      </c>
      <c r="CS11" s="31">
        <f t="shared" si="2"/>
        <v>18</v>
      </c>
      <c r="CT11" s="31">
        <f t="shared" si="2"/>
        <v>137</v>
      </c>
      <c r="CU11" s="31">
        <f t="shared" si="2"/>
        <v>139</v>
      </c>
      <c r="CV11" s="31">
        <f t="shared" si="2"/>
        <v>0</v>
      </c>
      <c r="CW11" s="62">
        <f t="shared" si="2"/>
        <v>0.31439999999999996</v>
      </c>
      <c r="CX11" s="31">
        <f t="shared" si="2"/>
        <v>2</v>
      </c>
      <c r="CY11" s="31">
        <f t="shared" si="2"/>
        <v>0</v>
      </c>
      <c r="CZ11" s="19">
        <f t="shared" si="2"/>
        <v>208.18</v>
      </c>
      <c r="DA11" s="31">
        <f t="shared" si="2"/>
        <v>0</v>
      </c>
      <c r="DB11" s="37">
        <f t="shared" si="2"/>
        <v>4.0099999999999997E-2</v>
      </c>
      <c r="DC11" s="31">
        <f t="shared" si="2"/>
        <v>175</v>
      </c>
      <c r="DD11" s="31">
        <f t="shared" si="2"/>
        <v>63546.53</v>
      </c>
      <c r="DE11" s="31">
        <f t="shared" si="2"/>
        <v>7038.71</v>
      </c>
      <c r="DF11" s="31">
        <f t="shared" si="2"/>
        <v>12414.07</v>
      </c>
      <c r="DG11" s="37">
        <f t="shared" si="2"/>
        <v>0.25900000000000001</v>
      </c>
      <c r="DH11" s="31">
        <f t="shared" si="2"/>
        <v>43</v>
      </c>
      <c r="DI11" s="19">
        <f t="shared" si="2"/>
        <v>2200.9899999999998</v>
      </c>
      <c r="DJ11" s="19">
        <f t="shared" si="2"/>
        <v>553.29</v>
      </c>
      <c r="DK11" s="19">
        <f t="shared" si="2"/>
        <v>207.35999999999999</v>
      </c>
      <c r="DL11" s="37">
        <f t="shared" si="2"/>
        <v>0.17</v>
      </c>
      <c r="DM11" s="31">
        <f t="shared" si="2"/>
        <v>136</v>
      </c>
      <c r="DN11" s="19">
        <f t="shared" si="2"/>
        <v>73901.930000000008</v>
      </c>
      <c r="DO11" s="19">
        <f t="shared" si="2"/>
        <v>3143.44</v>
      </c>
      <c r="DP11" s="19">
        <f t="shared" si="2"/>
        <v>3498.75</v>
      </c>
      <c r="DQ11" s="37">
        <f t="shared" si="2"/>
        <v>0.24590000000000004</v>
      </c>
      <c r="DR11" s="31">
        <f t="shared" si="2"/>
        <v>26</v>
      </c>
      <c r="DS11" s="19">
        <f t="shared" si="2"/>
        <v>1461.5700000000002</v>
      </c>
      <c r="DT11" s="19">
        <f t="shared" si="2"/>
        <v>623.81999999999994</v>
      </c>
      <c r="DU11" s="19">
        <f t="shared" si="2"/>
        <v>172.60000000000002</v>
      </c>
      <c r="DV11" s="37">
        <f t="shared" si="2"/>
        <v>0.2046</v>
      </c>
      <c r="DW11" s="31">
        <f t="shared" si="2"/>
        <v>0</v>
      </c>
      <c r="DX11" s="31">
        <f t="shared" si="2"/>
        <v>0</v>
      </c>
      <c r="DY11" s="31">
        <f t="shared" si="2"/>
        <v>0</v>
      </c>
      <c r="DZ11" s="31">
        <f t="shared" si="2"/>
        <v>0</v>
      </c>
      <c r="EA11" s="31">
        <f t="shared" ref="EA11:EZ11" si="3">EA6+EA7+EA8+EA9+EA10</f>
        <v>0</v>
      </c>
      <c r="EB11" s="31">
        <f t="shared" si="3"/>
        <v>113</v>
      </c>
      <c r="EC11" s="31">
        <f t="shared" si="3"/>
        <v>62273</v>
      </c>
      <c r="ED11" s="31">
        <f t="shared" si="3"/>
        <v>4159</v>
      </c>
      <c r="EE11" s="31">
        <f t="shared" si="3"/>
        <v>9197</v>
      </c>
      <c r="EF11" s="62">
        <f t="shared" si="3"/>
        <v>0.33999999999999997</v>
      </c>
      <c r="EG11" s="31">
        <f t="shared" si="3"/>
        <v>352</v>
      </c>
      <c r="EH11" s="31">
        <f t="shared" si="3"/>
        <v>47592.600000000006</v>
      </c>
      <c r="EI11" s="31">
        <f t="shared" si="3"/>
        <v>15204.9</v>
      </c>
      <c r="EJ11" s="31">
        <f t="shared" si="3"/>
        <v>60352.659999999996</v>
      </c>
      <c r="EK11" s="37">
        <f t="shared" si="3"/>
        <v>0.22820000000000001</v>
      </c>
      <c r="EL11" s="31">
        <f t="shared" si="3"/>
        <v>0</v>
      </c>
      <c r="EM11" s="31">
        <f t="shared" si="3"/>
        <v>16518</v>
      </c>
      <c r="EN11" s="31">
        <f t="shared" si="3"/>
        <v>10157</v>
      </c>
      <c r="EO11" s="31">
        <f t="shared" si="3"/>
        <v>9323</v>
      </c>
      <c r="EP11" s="37">
        <f t="shared" si="3"/>
        <v>0.2006</v>
      </c>
      <c r="EQ11" s="31">
        <f t="shared" si="3"/>
        <v>172</v>
      </c>
      <c r="ER11" s="31">
        <f t="shared" si="3"/>
        <v>22010</v>
      </c>
      <c r="ES11" s="31">
        <f t="shared" si="3"/>
        <v>11155</v>
      </c>
      <c r="ET11" s="31">
        <f t="shared" si="3"/>
        <v>11229</v>
      </c>
      <c r="EU11" s="62">
        <f t="shared" si="3"/>
        <v>0.24150000000000002</v>
      </c>
      <c r="EV11" s="31">
        <f t="shared" si="3"/>
        <v>86</v>
      </c>
      <c r="EW11" s="31">
        <f t="shared" si="3"/>
        <v>27380.35</v>
      </c>
      <c r="EX11" s="31">
        <f t="shared" si="3"/>
        <v>2110.9299999999998</v>
      </c>
      <c r="EY11" s="31">
        <f t="shared" si="3"/>
        <v>20655.02</v>
      </c>
      <c r="EZ11" s="62">
        <f t="shared" si="3"/>
        <v>0.36</v>
      </c>
    </row>
    <row r="12" spans="1:156" x14ac:dyDescent="0.25">
      <c r="A12" s="114" t="s">
        <v>264</v>
      </c>
      <c r="B12" s="92"/>
      <c r="C12" s="91"/>
      <c r="D12" s="91"/>
      <c r="E12" s="91"/>
      <c r="F12" s="35"/>
      <c r="G12" s="92"/>
      <c r="H12" s="91"/>
      <c r="I12" s="91"/>
      <c r="J12" s="91"/>
      <c r="K12" s="35"/>
      <c r="L12" s="92"/>
      <c r="M12" s="91"/>
      <c r="N12" s="91"/>
      <c r="O12" s="34"/>
      <c r="P12" s="91"/>
      <c r="Q12" s="92"/>
      <c r="R12" s="91"/>
      <c r="S12" s="91"/>
      <c r="T12" s="91"/>
      <c r="U12" s="35"/>
      <c r="V12" s="92"/>
      <c r="W12" s="91"/>
      <c r="X12" s="91"/>
      <c r="Y12" s="91"/>
      <c r="Z12" s="35"/>
      <c r="AA12" s="92"/>
      <c r="AB12" s="91"/>
      <c r="AC12" s="91"/>
      <c r="AD12" s="91"/>
      <c r="AE12" s="35"/>
      <c r="AF12" s="92"/>
      <c r="AG12" s="91"/>
      <c r="AH12" s="91"/>
      <c r="AI12" s="91"/>
      <c r="AJ12" s="35"/>
      <c r="AK12" s="92"/>
      <c r="AL12" s="91"/>
      <c r="AM12" s="91"/>
      <c r="AN12" s="91"/>
      <c r="AO12" s="35"/>
      <c r="AP12" s="92"/>
      <c r="AQ12" s="91"/>
      <c r="AR12" s="91"/>
      <c r="AS12" s="91"/>
      <c r="AT12" s="35"/>
      <c r="AU12" s="92"/>
      <c r="AV12" s="91"/>
      <c r="AW12" s="91"/>
      <c r="AX12" s="91"/>
      <c r="AY12" s="35"/>
      <c r="AZ12" s="92"/>
      <c r="BA12" s="91"/>
      <c r="BB12" s="91"/>
      <c r="BC12" s="91"/>
      <c r="BD12" s="35"/>
      <c r="BE12" s="92"/>
      <c r="BF12" s="91"/>
      <c r="BG12" s="91"/>
      <c r="BH12" s="91"/>
      <c r="BI12" s="35"/>
      <c r="BJ12" s="92"/>
      <c r="BK12" s="91"/>
      <c r="BL12" s="91"/>
      <c r="BM12" s="91"/>
      <c r="BN12" s="35"/>
      <c r="BO12" s="92"/>
      <c r="BP12" s="91"/>
      <c r="BQ12" s="91"/>
      <c r="BR12" s="91"/>
      <c r="BS12" s="35"/>
      <c r="BT12" s="92"/>
      <c r="BU12" s="91"/>
      <c r="BV12" s="91"/>
      <c r="BW12" s="91"/>
      <c r="BX12" s="35"/>
      <c r="BY12" s="92"/>
      <c r="BZ12" s="91"/>
      <c r="CA12" s="91"/>
      <c r="CB12" s="91"/>
      <c r="CC12" s="35"/>
      <c r="CD12" s="92"/>
      <c r="CE12" s="91"/>
      <c r="CF12" s="91"/>
      <c r="CG12" s="91"/>
      <c r="CH12" s="35"/>
      <c r="CI12" s="92"/>
      <c r="CJ12" s="91"/>
      <c r="CK12" s="91"/>
      <c r="CL12" s="91"/>
      <c r="CM12" s="35"/>
      <c r="CN12" s="92"/>
      <c r="CO12" s="91"/>
      <c r="CP12" s="91"/>
      <c r="CQ12" s="91"/>
      <c r="CR12" s="35"/>
      <c r="CS12" s="92"/>
      <c r="CT12" s="91"/>
      <c r="CU12" s="91"/>
      <c r="CV12" s="91"/>
      <c r="CW12" s="35"/>
      <c r="CX12" s="92"/>
      <c r="CY12" s="91"/>
      <c r="CZ12" s="91"/>
      <c r="DA12" s="91"/>
      <c r="DB12" s="35"/>
      <c r="DC12" s="92"/>
      <c r="DD12" s="149"/>
      <c r="DE12" s="149"/>
      <c r="DF12" s="149"/>
      <c r="DG12" s="36"/>
      <c r="DH12" s="92"/>
      <c r="DI12" s="91"/>
      <c r="DJ12" s="91"/>
      <c r="DK12" s="91"/>
      <c r="DL12" s="35"/>
      <c r="DM12" s="60"/>
      <c r="DN12" s="36"/>
      <c r="DO12" s="36"/>
      <c r="DP12" s="36"/>
      <c r="DQ12" s="35"/>
      <c r="DR12" s="92"/>
      <c r="DS12" s="91"/>
      <c r="DT12" s="91"/>
      <c r="DU12" s="91"/>
      <c r="DV12" s="35"/>
      <c r="DW12" s="92"/>
      <c r="DX12" s="91"/>
      <c r="DY12" s="91"/>
      <c r="DZ12" s="91"/>
      <c r="EA12" s="35"/>
      <c r="EB12" s="92"/>
      <c r="EC12" s="91"/>
      <c r="ED12" s="91"/>
      <c r="EE12" s="91"/>
      <c r="EF12" s="35"/>
      <c r="EG12" s="92"/>
      <c r="EH12" s="91"/>
      <c r="EI12" s="91"/>
      <c r="EJ12" s="91"/>
      <c r="EK12" s="35"/>
      <c r="EL12" s="91"/>
      <c r="EM12" s="91"/>
      <c r="EN12" s="91"/>
      <c r="EO12" s="91"/>
      <c r="EP12" s="35"/>
      <c r="EQ12" s="92"/>
      <c r="ER12" s="91"/>
      <c r="ES12" s="91"/>
      <c r="ET12" s="91"/>
      <c r="EU12" s="35"/>
      <c r="EV12" s="92"/>
      <c r="EW12" s="91"/>
      <c r="EX12" s="91"/>
      <c r="EY12" s="91"/>
      <c r="EZ12" s="35"/>
    </row>
    <row r="13" spans="1:156" x14ac:dyDescent="0.25">
      <c r="A13" s="18" t="s">
        <v>265</v>
      </c>
      <c r="B13" s="9"/>
      <c r="C13" s="17"/>
      <c r="D13" s="17"/>
      <c r="E13" s="17"/>
      <c r="F13" s="35"/>
      <c r="G13" s="9"/>
      <c r="H13" s="17"/>
      <c r="I13" s="17"/>
      <c r="J13" s="17"/>
      <c r="K13" s="35"/>
      <c r="L13" s="9"/>
      <c r="M13" s="17"/>
      <c r="N13" s="17"/>
      <c r="O13" s="34"/>
      <c r="P13" s="17"/>
      <c r="Q13" s="92">
        <v>21</v>
      </c>
      <c r="R13">
        <v>0.05</v>
      </c>
      <c r="S13" s="17"/>
      <c r="T13" s="91">
        <v>26789.02</v>
      </c>
      <c r="U13" s="34">
        <v>5.5800000000000002E-2</v>
      </c>
      <c r="V13" s="9"/>
      <c r="W13" s="17"/>
      <c r="X13" s="17"/>
      <c r="Y13" s="17"/>
      <c r="Z13" s="35"/>
      <c r="AA13" s="92">
        <v>13</v>
      </c>
      <c r="AB13" s="17"/>
      <c r="AC13" s="17"/>
      <c r="AD13" s="92">
        <v>2006</v>
      </c>
      <c r="AE13" s="35">
        <v>2.1299999999999999E-2</v>
      </c>
      <c r="AF13" s="92">
        <v>3</v>
      </c>
      <c r="AG13" s="17"/>
      <c r="AH13" s="17"/>
      <c r="AI13" s="17"/>
      <c r="AJ13" s="35"/>
      <c r="AK13" s="92">
        <v>4</v>
      </c>
      <c r="AL13" s="17"/>
      <c r="AM13" s="17"/>
      <c r="AN13" s="91">
        <v>109.38</v>
      </c>
      <c r="AO13" s="35">
        <v>0.01</v>
      </c>
      <c r="AP13" s="92">
        <v>15</v>
      </c>
      <c r="AQ13" s="92">
        <v>-10</v>
      </c>
      <c r="AR13" s="92"/>
      <c r="AS13" s="92">
        <v>789</v>
      </c>
      <c r="AT13" s="35">
        <v>6.7999999999999996E-3</v>
      </c>
      <c r="AU13" s="92">
        <v>6</v>
      </c>
      <c r="AV13" s="92"/>
      <c r="AW13" s="92"/>
      <c r="AX13" s="92">
        <v>565</v>
      </c>
      <c r="AY13" s="35">
        <v>7.3000000000000001E-3</v>
      </c>
      <c r="AZ13" s="92">
        <v>20</v>
      </c>
      <c r="BA13" s="77"/>
      <c r="BB13" s="92"/>
      <c r="BC13" s="92">
        <v>6881</v>
      </c>
      <c r="BD13" s="35">
        <v>1.44E-2</v>
      </c>
      <c r="BE13" s="92">
        <v>22</v>
      </c>
      <c r="BF13" s="92"/>
      <c r="BG13" s="92"/>
      <c r="BH13" s="92">
        <v>28668</v>
      </c>
      <c r="BI13" s="117">
        <v>7.0000000000000007E-2</v>
      </c>
      <c r="BJ13" s="92">
        <v>13</v>
      </c>
      <c r="BK13" s="91">
        <v>-3.76</v>
      </c>
      <c r="BL13" s="91">
        <v>-0.35</v>
      </c>
      <c r="BM13" s="91">
        <v>5008.33</v>
      </c>
      <c r="BN13" s="117">
        <v>0.02</v>
      </c>
      <c r="BO13" s="92">
        <v>6</v>
      </c>
      <c r="BP13" s="92"/>
      <c r="BQ13" s="92"/>
      <c r="BR13" s="92">
        <v>31</v>
      </c>
      <c r="BS13" s="35">
        <v>3.0000000000000001E-3</v>
      </c>
      <c r="BT13" s="9"/>
      <c r="BU13" s="17"/>
      <c r="BV13" s="17"/>
      <c r="BW13" s="17"/>
      <c r="BX13" s="35"/>
      <c r="BY13" s="92">
        <v>2</v>
      </c>
      <c r="BZ13" s="17"/>
      <c r="CA13" s="17"/>
      <c r="CB13" s="92">
        <v>35</v>
      </c>
      <c r="CC13" s="35"/>
      <c r="CD13" s="9"/>
      <c r="CE13" s="17"/>
      <c r="CF13" s="17"/>
      <c r="CG13" s="17"/>
      <c r="CH13" s="35"/>
      <c r="CI13" s="9"/>
      <c r="CJ13" s="17"/>
      <c r="CK13" s="17"/>
      <c r="CL13" s="17"/>
      <c r="CM13" s="35"/>
      <c r="CN13" s="92">
        <v>22</v>
      </c>
      <c r="CO13" s="92">
        <v>18695</v>
      </c>
      <c r="CP13" s="92">
        <v>-5338</v>
      </c>
      <c r="CQ13" s="92">
        <v>14866</v>
      </c>
      <c r="CR13" s="35">
        <v>0.25019999999999998</v>
      </c>
      <c r="CS13" s="9"/>
      <c r="CT13" s="17"/>
      <c r="CU13" s="17"/>
      <c r="CV13" s="17"/>
      <c r="CW13" s="35"/>
      <c r="CX13" s="9"/>
      <c r="CY13" s="17"/>
      <c r="CZ13" s="17"/>
      <c r="DA13" s="17"/>
      <c r="DB13" s="35"/>
      <c r="DC13" s="9">
        <v>22</v>
      </c>
      <c r="DD13" s="149"/>
      <c r="DE13" s="149"/>
      <c r="DF13" s="92">
        <v>8633</v>
      </c>
      <c r="DG13" s="35">
        <v>2.69E-2</v>
      </c>
      <c r="DH13" s="92">
        <v>4</v>
      </c>
      <c r="DI13" s="17"/>
      <c r="DJ13" s="17"/>
      <c r="DK13" s="91">
        <v>-3.04</v>
      </c>
      <c r="DL13" s="35"/>
      <c r="DM13" s="60">
        <v>17</v>
      </c>
      <c r="DN13" s="36"/>
      <c r="DO13" s="36"/>
      <c r="DP13" s="36">
        <v>32102.34</v>
      </c>
      <c r="DQ13" s="35">
        <v>9.8000000000000004E-2</v>
      </c>
      <c r="DR13" s="92">
        <v>5</v>
      </c>
      <c r="DS13" s="17"/>
      <c r="DT13" s="17"/>
      <c r="DU13" s="91">
        <v>63.29</v>
      </c>
      <c r="DV13" s="35">
        <v>5.7000000000000002E-3</v>
      </c>
      <c r="DW13" s="9"/>
      <c r="DX13" s="17"/>
      <c r="DY13" s="17"/>
      <c r="DZ13" s="17"/>
      <c r="EA13" s="35"/>
      <c r="EB13" s="92">
        <v>11</v>
      </c>
      <c r="EC13" s="92"/>
      <c r="ED13" s="92"/>
      <c r="EE13" s="92">
        <v>2040</v>
      </c>
      <c r="EF13" s="117">
        <v>0.01</v>
      </c>
      <c r="EG13" s="92">
        <v>17</v>
      </c>
      <c r="EH13" s="91">
        <v>1139.49</v>
      </c>
      <c r="EI13" s="17"/>
      <c r="EJ13" s="91">
        <v>75266.67</v>
      </c>
      <c r="EK13" s="35">
        <v>0.1416</v>
      </c>
      <c r="EL13" s="17"/>
      <c r="EM13" s="92">
        <v>-916</v>
      </c>
      <c r="EN13" s="91"/>
      <c r="EO13" s="92">
        <v>16518</v>
      </c>
      <c r="EP13" s="35">
        <v>8.6900000000000005E-2</v>
      </c>
      <c r="EQ13" s="9">
        <v>28</v>
      </c>
      <c r="ER13" s="92">
        <v>82338</v>
      </c>
      <c r="ES13" s="92">
        <v>14041</v>
      </c>
      <c r="ET13" s="92">
        <v>43018</v>
      </c>
      <c r="EU13" s="35">
        <v>0.75849999999999995</v>
      </c>
      <c r="EV13" s="92">
        <v>7</v>
      </c>
      <c r="EW13" s="17"/>
      <c r="EX13" s="17"/>
      <c r="EY13" s="91">
        <v>11130.39</v>
      </c>
      <c r="EZ13" s="35">
        <v>0.08</v>
      </c>
    </row>
    <row r="14" spans="1:156" x14ac:dyDescent="0.25">
      <c r="A14" s="18" t="s">
        <v>266</v>
      </c>
      <c r="B14" s="92">
        <v>1</v>
      </c>
      <c r="C14" s="91">
        <v>17839.61</v>
      </c>
      <c r="D14" s="91">
        <v>213.46</v>
      </c>
      <c r="E14" s="17"/>
      <c r="F14" s="35"/>
      <c r="G14" s="9">
        <v>2</v>
      </c>
      <c r="H14" s="91">
        <v>20011</v>
      </c>
      <c r="I14" s="17"/>
      <c r="J14" s="17"/>
      <c r="K14" s="35">
        <v>0.75960000000000005</v>
      </c>
      <c r="L14" s="92">
        <v>6</v>
      </c>
      <c r="M14" s="91">
        <v>50858.05</v>
      </c>
      <c r="N14" s="91">
        <v>3877.64</v>
      </c>
      <c r="O14" s="91">
        <v>40133.26</v>
      </c>
      <c r="P14" s="35">
        <v>0.18820000000000001</v>
      </c>
      <c r="Q14" s="92">
        <v>8</v>
      </c>
      <c r="R14" s="91">
        <v>104054.53</v>
      </c>
      <c r="S14" s="91">
        <v>3797.59</v>
      </c>
      <c r="T14" s="91">
        <v>10077.540000000001</v>
      </c>
      <c r="U14" s="34">
        <v>0.24579999999999999</v>
      </c>
      <c r="V14" s="92">
        <v>1</v>
      </c>
      <c r="W14" s="92">
        <v>151</v>
      </c>
      <c r="X14" s="17"/>
      <c r="Y14" s="17"/>
      <c r="Z14" s="35">
        <v>2.8999999999999998E-3</v>
      </c>
      <c r="AA14" s="92">
        <v>7</v>
      </c>
      <c r="AB14" s="92">
        <v>46844</v>
      </c>
      <c r="AC14" s="91">
        <v>1370.92</v>
      </c>
      <c r="AD14" s="92">
        <v>668</v>
      </c>
      <c r="AE14" s="35">
        <v>0.51980000000000004</v>
      </c>
      <c r="AF14" s="92">
        <v>3</v>
      </c>
      <c r="AG14" s="91">
        <v>5526</v>
      </c>
      <c r="AH14" s="91">
        <v>1307</v>
      </c>
      <c r="AI14" s="17"/>
      <c r="AJ14" s="35">
        <v>0.46</v>
      </c>
      <c r="AK14" s="92">
        <v>3</v>
      </c>
      <c r="AL14" s="91">
        <v>3341.76</v>
      </c>
      <c r="AM14" s="77"/>
      <c r="AN14" s="77"/>
      <c r="AO14" s="35">
        <v>0.45</v>
      </c>
      <c r="AP14" s="92">
        <v>8</v>
      </c>
      <c r="AQ14" s="92">
        <v>23756</v>
      </c>
      <c r="AR14" s="92">
        <v>3971</v>
      </c>
      <c r="AS14" s="92">
        <v>394</v>
      </c>
      <c r="AT14" s="35">
        <v>0.2452</v>
      </c>
      <c r="AU14" s="92">
        <v>6</v>
      </c>
      <c r="AV14" s="92">
        <v>3807</v>
      </c>
      <c r="AW14" s="92">
        <v>3</v>
      </c>
      <c r="AX14" s="92">
        <v>740</v>
      </c>
      <c r="AY14" s="35">
        <v>5.8599999999999999E-2</v>
      </c>
      <c r="AZ14" s="92">
        <v>6</v>
      </c>
      <c r="BA14" s="92">
        <v>267677</v>
      </c>
      <c r="BB14" s="92">
        <v>5667</v>
      </c>
      <c r="BC14" s="92">
        <v>27371</v>
      </c>
      <c r="BD14" s="35">
        <v>0.62770000000000004</v>
      </c>
      <c r="BE14" s="92">
        <v>8</v>
      </c>
      <c r="BF14" s="92">
        <v>78017</v>
      </c>
      <c r="BG14" s="92">
        <v>5066</v>
      </c>
      <c r="BH14" s="92">
        <v>5465</v>
      </c>
      <c r="BI14" s="117">
        <v>0.22</v>
      </c>
      <c r="BJ14" s="92">
        <v>7</v>
      </c>
      <c r="BK14" s="91">
        <v>26510.880000000001</v>
      </c>
      <c r="BL14" s="91">
        <v>1876.99</v>
      </c>
      <c r="BM14" s="91">
        <v>1565.69</v>
      </c>
      <c r="BN14" s="117">
        <v>0.14000000000000001</v>
      </c>
      <c r="BO14" s="92">
        <v>4</v>
      </c>
      <c r="BP14" s="92">
        <v>5615</v>
      </c>
      <c r="BQ14" s="92">
        <v>167</v>
      </c>
      <c r="BR14" s="92">
        <v>57</v>
      </c>
      <c r="BS14" s="35">
        <v>0.48</v>
      </c>
      <c r="BT14" s="92">
        <v>6</v>
      </c>
      <c r="BU14" s="91">
        <v>1343.27</v>
      </c>
      <c r="BV14" s="91">
        <v>863.15</v>
      </c>
      <c r="BW14" s="91">
        <v>89.84</v>
      </c>
      <c r="BX14" s="35">
        <v>0.12920000000000001</v>
      </c>
      <c r="BY14" s="92">
        <v>5</v>
      </c>
      <c r="BZ14" s="92">
        <v>15941</v>
      </c>
      <c r="CA14" s="92">
        <v>135</v>
      </c>
      <c r="CB14" s="92">
        <v>48</v>
      </c>
      <c r="CC14" s="117">
        <v>0.37</v>
      </c>
      <c r="CD14" s="9">
        <v>1</v>
      </c>
      <c r="CE14" s="91">
        <v>65.400000000000006</v>
      </c>
      <c r="CF14" s="91">
        <v>59.96</v>
      </c>
      <c r="CG14" s="91">
        <v>7.71</v>
      </c>
      <c r="CH14" s="117">
        <v>3.6799999999999999E-2</v>
      </c>
      <c r="CI14" s="92">
        <v>3</v>
      </c>
      <c r="CJ14" s="92">
        <v>29363</v>
      </c>
      <c r="CK14" s="92">
        <v>46</v>
      </c>
      <c r="CL14" s="17"/>
      <c r="CM14" s="117">
        <v>0.66</v>
      </c>
      <c r="CN14" s="92">
        <v>8</v>
      </c>
      <c r="CO14" s="92">
        <v>0</v>
      </c>
      <c r="CP14" s="92">
        <v>1803</v>
      </c>
      <c r="CQ14" s="92">
        <v>696</v>
      </c>
      <c r="CR14" s="35">
        <v>2.2200000000000001E-2</v>
      </c>
      <c r="CS14" s="92">
        <v>3</v>
      </c>
      <c r="CT14" s="92">
        <v>-14</v>
      </c>
      <c r="CU14" s="92"/>
      <c r="CV14" s="17"/>
      <c r="CW14" s="117">
        <v>-1.5599999999999999E-2</v>
      </c>
      <c r="CX14" s="92">
        <v>1</v>
      </c>
      <c r="CY14" s="17"/>
      <c r="CZ14" s="17"/>
      <c r="DA14" s="91">
        <v>7.83</v>
      </c>
      <c r="DB14" s="35">
        <v>2.0999999999999999E-3</v>
      </c>
      <c r="DC14" s="9">
        <v>8</v>
      </c>
      <c r="DD14" s="92">
        <v>30181</v>
      </c>
      <c r="DE14" s="92">
        <v>1308</v>
      </c>
      <c r="DF14" s="92">
        <v>1826</v>
      </c>
      <c r="DG14" s="35">
        <v>0.104</v>
      </c>
      <c r="DH14" s="92">
        <v>6</v>
      </c>
      <c r="DI14" s="91">
        <v>7633.44</v>
      </c>
      <c r="DJ14" s="91">
        <v>458.01</v>
      </c>
      <c r="DK14" s="91">
        <v>0.23</v>
      </c>
      <c r="DL14" s="117">
        <v>0.47</v>
      </c>
      <c r="DM14" s="60">
        <v>10</v>
      </c>
      <c r="DN14" s="36">
        <v>37591.43</v>
      </c>
      <c r="DO14" s="36">
        <v>2760.3</v>
      </c>
      <c r="DP14" s="36">
        <v>1444.7</v>
      </c>
      <c r="DQ14" s="35">
        <v>0.12759999999999999</v>
      </c>
      <c r="DR14" s="92">
        <v>2</v>
      </c>
      <c r="DS14" s="91">
        <v>28.83</v>
      </c>
      <c r="DT14" s="91">
        <v>21.77</v>
      </c>
      <c r="DU14" s="91"/>
      <c r="DV14" s="35">
        <v>4.5999999999999999E-3</v>
      </c>
      <c r="DW14" s="92">
        <v>3</v>
      </c>
      <c r="DX14" s="92"/>
      <c r="DY14" s="92">
        <v>2007</v>
      </c>
      <c r="DZ14" s="17"/>
      <c r="EA14" s="117">
        <v>0.05</v>
      </c>
      <c r="EB14" s="92">
        <v>8</v>
      </c>
      <c r="EC14" s="92">
        <v>69067</v>
      </c>
      <c r="ED14" s="92">
        <v>4516</v>
      </c>
      <c r="EE14" s="92">
        <v>6741</v>
      </c>
      <c r="EF14" s="117">
        <v>0.36</v>
      </c>
      <c r="EG14" s="92">
        <v>6</v>
      </c>
      <c r="EH14" s="91">
        <v>1987.53</v>
      </c>
      <c r="EI14" s="91">
        <v>5641.79</v>
      </c>
      <c r="EJ14" s="91">
        <v>48134.17</v>
      </c>
      <c r="EK14" s="35">
        <v>0.10340000000000001</v>
      </c>
      <c r="EL14" s="17"/>
      <c r="EM14" s="92">
        <v>1530</v>
      </c>
      <c r="EN14" s="92">
        <v>1857</v>
      </c>
      <c r="EO14" s="92">
        <v>2971</v>
      </c>
      <c r="EP14" s="35">
        <v>3.5400000000000001E-2</v>
      </c>
      <c r="EQ14" s="9"/>
      <c r="ER14" s="17"/>
      <c r="ES14" s="17"/>
      <c r="ET14" s="17"/>
      <c r="EU14" s="35"/>
      <c r="EV14" s="92">
        <v>8</v>
      </c>
      <c r="EW14" s="91">
        <v>22702.43</v>
      </c>
      <c r="EX14" s="91">
        <v>5.56</v>
      </c>
      <c r="EY14" s="91">
        <v>29.72</v>
      </c>
      <c r="EZ14" s="35">
        <v>0.16</v>
      </c>
    </row>
    <row r="15" spans="1:156" x14ac:dyDescent="0.25">
      <c r="A15" s="18" t="s">
        <v>267</v>
      </c>
      <c r="B15" s="92">
        <v>1</v>
      </c>
      <c r="C15" s="91">
        <v>9936.2000000000007</v>
      </c>
      <c r="D15" s="91">
        <v>213.46</v>
      </c>
      <c r="E15" s="91">
        <v>9.86</v>
      </c>
      <c r="F15" s="35"/>
      <c r="G15" s="9">
        <v>1</v>
      </c>
      <c r="H15" s="91">
        <v>5878</v>
      </c>
      <c r="I15" s="91">
        <v>174</v>
      </c>
      <c r="J15" s="17"/>
      <c r="K15" s="35">
        <v>0.22969999999999999</v>
      </c>
      <c r="L15" s="92">
        <v>1</v>
      </c>
      <c r="M15" s="91">
        <v>233731.79</v>
      </c>
      <c r="N15" s="91">
        <v>298.3</v>
      </c>
      <c r="O15" s="34"/>
      <c r="P15" s="35">
        <v>0.46429999999999999</v>
      </c>
      <c r="Q15" s="92">
        <v>1</v>
      </c>
      <c r="R15" s="91">
        <v>125277.22</v>
      </c>
      <c r="S15" s="91">
        <v>7458.11</v>
      </c>
      <c r="T15" s="91">
        <v>10290.450000000001</v>
      </c>
      <c r="U15" s="34">
        <v>0.29809999999999998</v>
      </c>
      <c r="V15" s="92">
        <v>1</v>
      </c>
      <c r="W15" s="92">
        <v>51588</v>
      </c>
      <c r="X15" s="92">
        <v>397</v>
      </c>
      <c r="Y15" s="92">
        <v>1</v>
      </c>
      <c r="Z15" s="35">
        <v>0.99709999999999999</v>
      </c>
      <c r="AA15" s="92">
        <v>1</v>
      </c>
      <c r="AB15" s="92">
        <v>23543</v>
      </c>
      <c r="AC15" s="91">
        <v>827.29899999999998</v>
      </c>
      <c r="AD15" s="92">
        <v>254</v>
      </c>
      <c r="AE15" s="35">
        <v>0.26190000000000002</v>
      </c>
      <c r="AF15" s="92">
        <v>1</v>
      </c>
      <c r="AG15" s="91">
        <v>6344</v>
      </c>
      <c r="AH15" s="91">
        <v>242</v>
      </c>
      <c r="AI15" s="17"/>
      <c r="AJ15" s="35">
        <v>0.44</v>
      </c>
      <c r="AK15" s="92">
        <v>1</v>
      </c>
      <c r="AL15" s="91">
        <v>3466.35</v>
      </c>
      <c r="AM15" s="91">
        <v>398.53</v>
      </c>
      <c r="AN15" s="77"/>
      <c r="AO15" s="35">
        <v>0.52</v>
      </c>
      <c r="AP15" s="92">
        <v>1</v>
      </c>
      <c r="AQ15" s="92">
        <v>49398</v>
      </c>
      <c r="AR15" s="92">
        <v>4500</v>
      </c>
      <c r="AS15" s="92">
        <v>141</v>
      </c>
      <c r="AT15" s="35">
        <v>0.47120000000000001</v>
      </c>
      <c r="AU15" s="92">
        <v>1</v>
      </c>
      <c r="AV15" s="92">
        <v>18165</v>
      </c>
      <c r="AW15" s="92">
        <v>-106</v>
      </c>
      <c r="AX15" s="92">
        <v>289</v>
      </c>
      <c r="AY15" s="35">
        <v>0.23630000000000001</v>
      </c>
      <c r="AZ15" s="92">
        <v>1</v>
      </c>
      <c r="BA15" s="92">
        <v>113525</v>
      </c>
      <c r="BB15" s="92">
        <v>4597</v>
      </c>
      <c r="BC15" s="92">
        <v>5358</v>
      </c>
      <c r="BD15" s="35">
        <v>0.25769999999999998</v>
      </c>
      <c r="BE15" s="92">
        <v>1</v>
      </c>
      <c r="BF15" s="92">
        <v>168807</v>
      </c>
      <c r="BG15" s="92">
        <v>15590</v>
      </c>
      <c r="BH15" s="92">
        <v>5575</v>
      </c>
      <c r="BI15" s="117">
        <v>0.47</v>
      </c>
      <c r="BJ15" s="9"/>
      <c r="BK15" s="91">
        <v>86372.97</v>
      </c>
      <c r="BL15" s="91">
        <v>6320.08</v>
      </c>
      <c r="BM15" s="91">
        <v>9671.64</v>
      </c>
      <c r="BN15" s="117">
        <v>0.49</v>
      </c>
      <c r="BO15" s="92">
        <v>1</v>
      </c>
      <c r="BP15" s="92">
        <v>5343</v>
      </c>
      <c r="BQ15" s="92">
        <v>374</v>
      </c>
      <c r="BR15" s="92"/>
      <c r="BS15" s="35">
        <v>0.51700000000000002</v>
      </c>
      <c r="BT15" s="92">
        <v>1</v>
      </c>
      <c r="BU15" s="91">
        <v>10775.33</v>
      </c>
      <c r="BV15" s="91">
        <v>1417.83</v>
      </c>
      <c r="BW15" s="91">
        <v>0.01</v>
      </c>
      <c r="BX15" s="35">
        <v>0.68589999999999995</v>
      </c>
      <c r="BY15" s="92">
        <v>1</v>
      </c>
      <c r="BZ15" s="92">
        <v>16603</v>
      </c>
      <c r="CA15" s="92">
        <v>403</v>
      </c>
      <c r="CB15" s="92">
        <v>5</v>
      </c>
      <c r="CC15" s="117">
        <v>0.39</v>
      </c>
      <c r="CD15" s="9">
        <v>1</v>
      </c>
      <c r="CE15" s="91">
        <v>3450.15</v>
      </c>
      <c r="CF15" s="91">
        <v>32.15</v>
      </c>
      <c r="CG15" s="17"/>
      <c r="CH15" s="117">
        <v>0.96319999999999995</v>
      </c>
      <c r="CI15" s="92">
        <v>1</v>
      </c>
      <c r="CJ15" s="92">
        <v>14830</v>
      </c>
      <c r="CK15" s="92">
        <v>46</v>
      </c>
      <c r="CL15" s="17"/>
      <c r="CM15" s="117">
        <v>0.34</v>
      </c>
      <c r="CN15" s="92">
        <v>1</v>
      </c>
      <c r="CO15" s="92">
        <v>38560</v>
      </c>
      <c r="CP15" s="92">
        <v>7834</v>
      </c>
      <c r="CQ15" s="92">
        <v>997</v>
      </c>
      <c r="CR15" s="35">
        <v>0.42009999999999997</v>
      </c>
      <c r="CS15" s="92">
        <v>1</v>
      </c>
      <c r="CT15" s="92">
        <v>436</v>
      </c>
      <c r="CU15" s="92">
        <v>182</v>
      </c>
      <c r="CV15" s="17"/>
      <c r="CW15" s="117">
        <v>0.70130000000000003</v>
      </c>
      <c r="CX15" s="92">
        <v>1</v>
      </c>
      <c r="CY15" s="91">
        <v>3386.01</v>
      </c>
      <c r="CZ15" s="91">
        <v>1457.87</v>
      </c>
      <c r="DA15" s="91">
        <v>50.99</v>
      </c>
      <c r="DB15" s="35">
        <v>0.95779999999999998</v>
      </c>
      <c r="DC15" s="9">
        <v>2</v>
      </c>
      <c r="DD15" s="92">
        <v>181718</v>
      </c>
      <c r="DE15" s="92">
        <v>9392</v>
      </c>
      <c r="DF15" s="92">
        <v>4355</v>
      </c>
      <c r="DG15" s="35">
        <v>0.61</v>
      </c>
      <c r="DH15" s="92">
        <v>1</v>
      </c>
      <c r="DI15" s="91">
        <v>5717.88</v>
      </c>
      <c r="DJ15" s="91">
        <v>371.75</v>
      </c>
      <c r="DK15" s="91">
        <v>21</v>
      </c>
      <c r="DL15" s="117">
        <v>0.36</v>
      </c>
      <c r="DM15" s="60">
        <v>1</v>
      </c>
      <c r="DN15" s="36">
        <v>166280.68</v>
      </c>
      <c r="DO15" s="36">
        <v>6013.19</v>
      </c>
      <c r="DP15" s="36">
        <v>748.79</v>
      </c>
      <c r="DQ15" s="35">
        <v>0.52839999999999998</v>
      </c>
      <c r="DR15" s="92">
        <v>1</v>
      </c>
      <c r="DS15" s="91">
        <v>7989.8</v>
      </c>
      <c r="DT15" s="91">
        <v>665.12</v>
      </c>
      <c r="DU15" s="91">
        <v>9.19</v>
      </c>
      <c r="DV15" s="35">
        <v>0.78510000000000002</v>
      </c>
      <c r="DW15" s="92">
        <v>1</v>
      </c>
      <c r="DX15" s="92">
        <v>38872</v>
      </c>
      <c r="DY15" s="92">
        <v>2981</v>
      </c>
      <c r="DZ15" s="17"/>
      <c r="EA15" s="117">
        <v>0.95</v>
      </c>
      <c r="EB15" s="92">
        <v>1</v>
      </c>
      <c r="EC15" s="92">
        <v>59209</v>
      </c>
      <c r="ED15" s="92">
        <v>1548</v>
      </c>
      <c r="EE15" s="92">
        <v>5454</v>
      </c>
      <c r="EF15" s="117">
        <v>0.3</v>
      </c>
      <c r="EG15" s="92">
        <v>1</v>
      </c>
      <c r="EH15" s="91">
        <v>200605.68</v>
      </c>
      <c r="EI15" s="91">
        <v>23553.06</v>
      </c>
      <c r="EJ15" s="91">
        <v>38860.199999999997</v>
      </c>
      <c r="EK15" s="35">
        <v>0.48759999999999998</v>
      </c>
      <c r="EL15" s="17"/>
      <c r="EM15" s="92">
        <v>72260</v>
      </c>
      <c r="EN15" s="92">
        <v>8814</v>
      </c>
      <c r="EO15" s="92">
        <v>24552</v>
      </c>
      <c r="EP15" s="35">
        <v>0.58860000000000001</v>
      </c>
      <c r="EQ15" s="9"/>
      <c r="ER15" s="17"/>
      <c r="ES15" s="17"/>
      <c r="ET15" s="17"/>
      <c r="EU15" s="35"/>
      <c r="EV15" s="92">
        <v>1</v>
      </c>
      <c r="EW15" s="91">
        <v>52351.5</v>
      </c>
      <c r="EX15" s="91">
        <v>2998.74</v>
      </c>
      <c r="EY15" s="91">
        <v>261.08</v>
      </c>
      <c r="EZ15" s="35">
        <v>0.4</v>
      </c>
    </row>
    <row r="16" spans="1:156" x14ac:dyDescent="0.25">
      <c r="A16" s="17" t="s">
        <v>31</v>
      </c>
      <c r="B16" s="9"/>
      <c r="C16" s="17"/>
      <c r="D16" s="17"/>
      <c r="E16" s="17"/>
      <c r="F16" s="35"/>
      <c r="G16" s="9"/>
      <c r="H16" s="17"/>
      <c r="I16" s="17"/>
      <c r="J16" s="17"/>
      <c r="K16" s="35"/>
      <c r="L16" s="9"/>
      <c r="M16" s="17"/>
      <c r="N16" s="17"/>
      <c r="O16" s="34"/>
      <c r="P16" s="17"/>
      <c r="Q16" s="9"/>
      <c r="R16" s="17"/>
      <c r="S16" s="17"/>
      <c r="T16" s="17"/>
      <c r="U16" s="35"/>
      <c r="V16" s="9"/>
      <c r="W16" s="17"/>
      <c r="X16" s="17"/>
      <c r="Y16" s="17"/>
      <c r="Z16" s="35"/>
      <c r="AA16" s="9"/>
      <c r="AB16" s="17"/>
      <c r="AC16" s="17"/>
      <c r="AD16" s="17"/>
      <c r="AE16" s="35"/>
      <c r="AF16" s="9"/>
      <c r="AG16" s="17"/>
      <c r="AH16" s="17"/>
      <c r="AI16" s="17"/>
      <c r="AJ16" s="35"/>
      <c r="AK16" s="9"/>
      <c r="AL16" s="17"/>
      <c r="AM16" s="17"/>
      <c r="AN16" s="17"/>
      <c r="AO16" s="35"/>
      <c r="AP16" s="9"/>
      <c r="AQ16" s="17"/>
      <c r="AR16" s="17"/>
      <c r="AS16" s="17"/>
      <c r="AT16" s="35"/>
      <c r="AU16" s="9">
        <v>2</v>
      </c>
      <c r="AV16" s="92"/>
      <c r="AW16" s="92">
        <v>1522</v>
      </c>
      <c r="AX16" s="92"/>
      <c r="AY16" s="35">
        <v>1.9800000000000002E-2</v>
      </c>
      <c r="AZ16" s="9"/>
      <c r="BA16" s="17"/>
      <c r="BB16" s="17"/>
      <c r="BC16" s="17"/>
      <c r="BD16" s="35"/>
      <c r="BE16" s="9"/>
      <c r="BF16" s="17"/>
      <c r="BG16" s="17"/>
      <c r="BH16" s="17"/>
      <c r="BI16" s="35"/>
      <c r="BJ16" s="9"/>
      <c r="BK16" s="17"/>
      <c r="BL16" s="17"/>
      <c r="BM16" s="17"/>
      <c r="BN16" s="35"/>
      <c r="BO16" s="9"/>
      <c r="BP16" s="17"/>
      <c r="BQ16" s="17"/>
      <c r="BR16" s="17"/>
      <c r="BS16" s="35"/>
      <c r="BT16" s="9"/>
      <c r="BU16" s="17"/>
      <c r="BV16" s="17"/>
      <c r="BW16" s="17"/>
      <c r="BX16" s="35"/>
      <c r="BY16" s="9"/>
      <c r="BZ16" s="17"/>
      <c r="CA16" s="17"/>
      <c r="CB16" s="17"/>
      <c r="CC16" s="35"/>
      <c r="CD16" s="9"/>
      <c r="CE16" s="17"/>
      <c r="CF16" s="17"/>
      <c r="CG16" s="17"/>
      <c r="CH16" s="35"/>
      <c r="CI16" s="9"/>
      <c r="CJ16" s="17"/>
      <c r="CK16" s="17"/>
      <c r="CL16" s="17"/>
      <c r="CM16" s="35"/>
      <c r="CN16" s="9"/>
      <c r="CO16" s="17"/>
      <c r="CP16" s="17"/>
      <c r="CQ16" s="17"/>
      <c r="CR16" s="35"/>
      <c r="CS16" s="9"/>
      <c r="CT16" s="17"/>
      <c r="CU16" s="17"/>
      <c r="CV16" s="17"/>
      <c r="CW16" s="35"/>
      <c r="CX16" s="9"/>
      <c r="CY16" s="17"/>
      <c r="CZ16" s="17"/>
      <c r="DA16" s="17"/>
      <c r="DB16" s="35"/>
      <c r="DC16" s="9"/>
      <c r="DD16" s="149"/>
      <c r="DE16" s="149"/>
      <c r="DF16" s="149"/>
      <c r="DG16" s="35"/>
      <c r="DH16" s="9"/>
      <c r="DI16" s="17"/>
      <c r="DJ16" s="17"/>
      <c r="DK16" s="17"/>
      <c r="DL16" s="35"/>
      <c r="DM16" s="60"/>
      <c r="DN16" s="36"/>
      <c r="DO16" s="36"/>
      <c r="DP16" s="36"/>
      <c r="DQ16" s="35"/>
      <c r="DR16" s="9"/>
      <c r="DS16" s="17"/>
      <c r="DT16" s="17"/>
      <c r="DU16" s="17"/>
      <c r="DV16" s="17"/>
      <c r="DW16" s="9"/>
      <c r="DX16" s="17"/>
      <c r="DY16" s="17"/>
      <c r="DZ16" s="17"/>
      <c r="EA16" s="35"/>
      <c r="EB16" s="92"/>
      <c r="EC16" s="91"/>
      <c r="ED16" s="91"/>
      <c r="EE16" s="91"/>
      <c r="EF16" s="35"/>
      <c r="EG16" s="92">
        <v>2</v>
      </c>
      <c r="EH16" s="91">
        <v>21109.95</v>
      </c>
      <c r="EI16" s="17"/>
      <c r="EJ16" s="17"/>
      <c r="EK16" s="35">
        <v>3.9100000000000003E-2</v>
      </c>
      <c r="EL16" s="17"/>
      <c r="EM16" s="92">
        <f>1005+14823</f>
        <v>15828</v>
      </c>
      <c r="EN16" s="17">
        <v>55</v>
      </c>
      <c r="EO16" s="17"/>
      <c r="EP16" s="35">
        <v>8.8499999999999995E-2</v>
      </c>
      <c r="EQ16" s="9"/>
      <c r="ER16" s="17"/>
      <c r="ES16" s="17"/>
      <c r="ET16" s="17"/>
      <c r="EU16" s="35"/>
      <c r="EV16" s="9"/>
      <c r="EW16" s="17"/>
      <c r="EX16" s="17"/>
      <c r="EY16" s="17"/>
      <c r="EZ16" s="35"/>
    </row>
    <row r="17" spans="1:156" s="40" customFormat="1" x14ac:dyDescent="0.25">
      <c r="A17" s="19" t="s">
        <v>268</v>
      </c>
      <c r="B17" s="115">
        <f t="shared" ref="B17:BM17" si="4">B13+B14+B15+B16</f>
        <v>2</v>
      </c>
      <c r="C17" s="82">
        <f t="shared" si="4"/>
        <v>27775.81</v>
      </c>
      <c r="D17" s="82">
        <f t="shared" si="4"/>
        <v>426.92</v>
      </c>
      <c r="E17" s="82">
        <f t="shared" si="4"/>
        <v>9.86</v>
      </c>
      <c r="F17" s="115">
        <f t="shared" si="4"/>
        <v>0</v>
      </c>
      <c r="G17" s="115">
        <f t="shared" si="4"/>
        <v>3</v>
      </c>
      <c r="H17" s="115">
        <f t="shared" si="4"/>
        <v>25889</v>
      </c>
      <c r="I17" s="115">
        <f t="shared" si="4"/>
        <v>174</v>
      </c>
      <c r="J17" s="115">
        <f t="shared" si="4"/>
        <v>0</v>
      </c>
      <c r="K17" s="37">
        <f t="shared" si="4"/>
        <v>0.98930000000000007</v>
      </c>
      <c r="L17" s="115">
        <f t="shared" si="4"/>
        <v>7</v>
      </c>
      <c r="M17" s="115">
        <f t="shared" si="4"/>
        <v>284589.84000000003</v>
      </c>
      <c r="N17" s="115">
        <f t="shared" si="4"/>
        <v>4175.9399999999996</v>
      </c>
      <c r="O17" s="115">
        <f t="shared" si="4"/>
        <v>40133.26</v>
      </c>
      <c r="P17" s="37">
        <f t="shared" si="4"/>
        <v>0.65249999999999997</v>
      </c>
      <c r="Q17" s="115">
        <f t="shared" si="4"/>
        <v>30</v>
      </c>
      <c r="R17" s="82">
        <f t="shared" si="4"/>
        <v>229331.8</v>
      </c>
      <c r="S17" s="82">
        <f t="shared" si="4"/>
        <v>11255.7</v>
      </c>
      <c r="T17" s="82">
        <f t="shared" si="4"/>
        <v>47157.009999999995</v>
      </c>
      <c r="U17" s="37">
        <f t="shared" si="4"/>
        <v>0.5996999999999999</v>
      </c>
      <c r="V17" s="115">
        <f t="shared" si="4"/>
        <v>2</v>
      </c>
      <c r="W17" s="115">
        <f t="shared" si="4"/>
        <v>51739</v>
      </c>
      <c r="X17" s="115">
        <f t="shared" si="4"/>
        <v>397</v>
      </c>
      <c r="Y17" s="115">
        <f t="shared" si="4"/>
        <v>1</v>
      </c>
      <c r="Z17" s="62">
        <f t="shared" si="4"/>
        <v>1</v>
      </c>
      <c r="AA17" s="115">
        <f t="shared" si="4"/>
        <v>21</v>
      </c>
      <c r="AB17" s="115">
        <f t="shared" si="4"/>
        <v>70387</v>
      </c>
      <c r="AC17" s="115">
        <f t="shared" si="4"/>
        <v>2198.2190000000001</v>
      </c>
      <c r="AD17" s="115">
        <f t="shared" si="4"/>
        <v>2928</v>
      </c>
      <c r="AE17" s="62">
        <f t="shared" si="4"/>
        <v>0.80300000000000005</v>
      </c>
      <c r="AF17" s="115">
        <f t="shared" si="4"/>
        <v>7</v>
      </c>
      <c r="AG17" s="115">
        <f t="shared" si="4"/>
        <v>11870</v>
      </c>
      <c r="AH17" s="115">
        <f t="shared" si="4"/>
        <v>1549</v>
      </c>
      <c r="AI17" s="115">
        <f t="shared" si="4"/>
        <v>0</v>
      </c>
      <c r="AJ17" s="62">
        <f t="shared" si="4"/>
        <v>0.9</v>
      </c>
      <c r="AK17" s="115">
        <f t="shared" si="4"/>
        <v>8</v>
      </c>
      <c r="AL17" s="115">
        <f t="shared" si="4"/>
        <v>6808.1100000000006</v>
      </c>
      <c r="AM17" s="115">
        <f t="shared" si="4"/>
        <v>398.53</v>
      </c>
      <c r="AN17" s="115">
        <f t="shared" si="4"/>
        <v>109.38</v>
      </c>
      <c r="AO17" s="62">
        <f t="shared" si="4"/>
        <v>0.98</v>
      </c>
      <c r="AP17" s="115">
        <f t="shared" si="4"/>
        <v>24</v>
      </c>
      <c r="AQ17" s="115">
        <f t="shared" si="4"/>
        <v>73144</v>
      </c>
      <c r="AR17" s="115">
        <f t="shared" si="4"/>
        <v>8471</v>
      </c>
      <c r="AS17" s="115">
        <f t="shared" si="4"/>
        <v>1324</v>
      </c>
      <c r="AT17" s="37">
        <f t="shared" si="4"/>
        <v>0.72320000000000007</v>
      </c>
      <c r="AU17" s="115">
        <f t="shared" si="4"/>
        <v>15</v>
      </c>
      <c r="AV17" s="115">
        <f t="shared" si="4"/>
        <v>21972</v>
      </c>
      <c r="AW17" s="115">
        <f t="shared" si="4"/>
        <v>1419</v>
      </c>
      <c r="AX17" s="115">
        <f t="shared" si="4"/>
        <v>1594</v>
      </c>
      <c r="AY17" s="37">
        <f t="shared" si="4"/>
        <v>0.32200000000000001</v>
      </c>
      <c r="AZ17" s="115">
        <f t="shared" si="4"/>
        <v>27</v>
      </c>
      <c r="BA17" s="115">
        <f t="shared" si="4"/>
        <v>381202</v>
      </c>
      <c r="BB17" s="115">
        <f t="shared" si="4"/>
        <v>10264</v>
      </c>
      <c r="BC17" s="115">
        <f t="shared" si="4"/>
        <v>39610</v>
      </c>
      <c r="BD17" s="37">
        <f t="shared" si="4"/>
        <v>0.89979999999999993</v>
      </c>
      <c r="BE17" s="115">
        <f t="shared" si="4"/>
        <v>31</v>
      </c>
      <c r="BF17" s="115">
        <f t="shared" si="4"/>
        <v>246824</v>
      </c>
      <c r="BG17" s="115">
        <f t="shared" si="4"/>
        <v>20656</v>
      </c>
      <c r="BH17" s="115">
        <f t="shared" si="4"/>
        <v>39708</v>
      </c>
      <c r="BI17" s="62">
        <f t="shared" si="4"/>
        <v>0.76</v>
      </c>
      <c r="BJ17" s="115">
        <f t="shared" si="4"/>
        <v>20</v>
      </c>
      <c r="BK17" s="115">
        <f t="shared" si="4"/>
        <v>112880.09</v>
      </c>
      <c r="BL17" s="115">
        <f t="shared" si="4"/>
        <v>8196.7199999999993</v>
      </c>
      <c r="BM17" s="115">
        <f t="shared" si="4"/>
        <v>16245.66</v>
      </c>
      <c r="BN17" s="62">
        <f t="shared" ref="BN17:DY17" si="5">BN13+BN14+BN15+BN16</f>
        <v>0.65</v>
      </c>
      <c r="BO17" s="115">
        <f t="shared" si="5"/>
        <v>11</v>
      </c>
      <c r="BP17" s="115">
        <f t="shared" si="5"/>
        <v>10958</v>
      </c>
      <c r="BQ17" s="115">
        <f t="shared" si="5"/>
        <v>541</v>
      </c>
      <c r="BR17" s="115">
        <f t="shared" si="5"/>
        <v>88</v>
      </c>
      <c r="BS17" s="62">
        <f t="shared" si="5"/>
        <v>1</v>
      </c>
      <c r="BT17" s="115">
        <f t="shared" si="5"/>
        <v>7</v>
      </c>
      <c r="BU17" s="115">
        <f t="shared" si="5"/>
        <v>12118.6</v>
      </c>
      <c r="BV17" s="115">
        <f t="shared" si="5"/>
        <v>2280.98</v>
      </c>
      <c r="BW17" s="115">
        <f t="shared" si="5"/>
        <v>89.850000000000009</v>
      </c>
      <c r="BX17" s="37">
        <f t="shared" si="5"/>
        <v>0.81509999999999994</v>
      </c>
      <c r="BY17" s="115">
        <f t="shared" si="5"/>
        <v>8</v>
      </c>
      <c r="BZ17" s="115">
        <f t="shared" si="5"/>
        <v>32544</v>
      </c>
      <c r="CA17" s="115">
        <f t="shared" si="5"/>
        <v>538</v>
      </c>
      <c r="CB17" s="115">
        <f t="shared" si="5"/>
        <v>88</v>
      </c>
      <c r="CC17" s="62">
        <f t="shared" si="5"/>
        <v>0.76</v>
      </c>
      <c r="CD17" s="115">
        <f t="shared" si="5"/>
        <v>2</v>
      </c>
      <c r="CE17" s="82">
        <f t="shared" si="5"/>
        <v>3515.55</v>
      </c>
      <c r="CF17" s="82">
        <f t="shared" si="5"/>
        <v>92.11</v>
      </c>
      <c r="CG17" s="82">
        <f t="shared" si="5"/>
        <v>7.71</v>
      </c>
      <c r="CH17" s="62">
        <f t="shared" si="5"/>
        <v>1</v>
      </c>
      <c r="CI17" s="115">
        <f t="shared" si="5"/>
        <v>4</v>
      </c>
      <c r="CJ17" s="115">
        <f t="shared" si="5"/>
        <v>44193</v>
      </c>
      <c r="CK17" s="115">
        <f t="shared" si="5"/>
        <v>92</v>
      </c>
      <c r="CL17" s="115">
        <f t="shared" si="5"/>
        <v>0</v>
      </c>
      <c r="CM17" s="62">
        <f t="shared" si="5"/>
        <v>1</v>
      </c>
      <c r="CN17" s="115">
        <f t="shared" si="5"/>
        <v>31</v>
      </c>
      <c r="CO17" s="115">
        <f t="shared" si="5"/>
        <v>57255</v>
      </c>
      <c r="CP17" s="115">
        <f t="shared" si="5"/>
        <v>4299</v>
      </c>
      <c r="CQ17" s="115">
        <f t="shared" si="5"/>
        <v>16559</v>
      </c>
      <c r="CR17" s="37">
        <f t="shared" si="5"/>
        <v>0.69249999999999989</v>
      </c>
      <c r="CS17" s="115">
        <f t="shared" si="5"/>
        <v>4</v>
      </c>
      <c r="CT17" s="115">
        <f t="shared" si="5"/>
        <v>422</v>
      </c>
      <c r="CU17" s="115">
        <f t="shared" si="5"/>
        <v>182</v>
      </c>
      <c r="CV17" s="115">
        <f t="shared" si="5"/>
        <v>0</v>
      </c>
      <c r="CW17" s="62">
        <f t="shared" si="5"/>
        <v>0.68570000000000009</v>
      </c>
      <c r="CX17" s="115">
        <f t="shared" si="5"/>
        <v>2</v>
      </c>
      <c r="CY17" s="82">
        <f t="shared" si="5"/>
        <v>3386.01</v>
      </c>
      <c r="CZ17" s="82">
        <f t="shared" si="5"/>
        <v>1457.87</v>
      </c>
      <c r="DA17" s="82">
        <f t="shared" si="5"/>
        <v>58.82</v>
      </c>
      <c r="DB17" s="37">
        <f t="shared" si="5"/>
        <v>0.95989999999999998</v>
      </c>
      <c r="DC17" s="115">
        <f t="shared" si="5"/>
        <v>32</v>
      </c>
      <c r="DD17" s="115">
        <f t="shared" si="5"/>
        <v>211899</v>
      </c>
      <c r="DE17" s="115">
        <f t="shared" si="5"/>
        <v>10700</v>
      </c>
      <c r="DF17" s="115">
        <f t="shared" si="5"/>
        <v>14814</v>
      </c>
      <c r="DG17" s="37">
        <f t="shared" si="5"/>
        <v>0.7409</v>
      </c>
      <c r="DH17" s="115">
        <f t="shared" si="5"/>
        <v>11</v>
      </c>
      <c r="DI17" s="82">
        <f t="shared" si="5"/>
        <v>13351.32</v>
      </c>
      <c r="DJ17" s="82">
        <f t="shared" si="5"/>
        <v>829.76</v>
      </c>
      <c r="DK17" s="82">
        <f t="shared" si="5"/>
        <v>18.190000000000001</v>
      </c>
      <c r="DL17" s="37">
        <f t="shared" si="5"/>
        <v>0.83</v>
      </c>
      <c r="DM17" s="115">
        <f t="shared" si="5"/>
        <v>28</v>
      </c>
      <c r="DN17" s="82">
        <f t="shared" si="5"/>
        <v>203872.11</v>
      </c>
      <c r="DO17" s="82">
        <f t="shared" si="5"/>
        <v>8773.49</v>
      </c>
      <c r="DP17" s="82">
        <f t="shared" si="5"/>
        <v>34295.83</v>
      </c>
      <c r="DQ17" s="37">
        <f t="shared" si="5"/>
        <v>0.754</v>
      </c>
      <c r="DR17" s="115">
        <f t="shared" si="5"/>
        <v>8</v>
      </c>
      <c r="DS17" s="82">
        <f t="shared" si="5"/>
        <v>8018.63</v>
      </c>
      <c r="DT17" s="82">
        <f t="shared" si="5"/>
        <v>686.89</v>
      </c>
      <c r="DU17" s="82">
        <f t="shared" si="5"/>
        <v>72.48</v>
      </c>
      <c r="DV17" s="37">
        <f t="shared" si="5"/>
        <v>0.7954</v>
      </c>
      <c r="DW17" s="115">
        <f t="shared" si="5"/>
        <v>4</v>
      </c>
      <c r="DX17" s="115">
        <f t="shared" si="5"/>
        <v>38872</v>
      </c>
      <c r="DY17" s="115">
        <f t="shared" si="5"/>
        <v>4988</v>
      </c>
      <c r="DZ17" s="115">
        <f t="shared" ref="DZ17:EY17" si="6">DZ13+DZ14+DZ15+DZ16</f>
        <v>0</v>
      </c>
      <c r="EA17" s="62">
        <f t="shared" si="6"/>
        <v>1</v>
      </c>
      <c r="EB17" s="115">
        <f t="shared" si="6"/>
        <v>20</v>
      </c>
      <c r="EC17" s="115">
        <f t="shared" si="6"/>
        <v>128276</v>
      </c>
      <c r="ED17" s="115">
        <f t="shared" si="6"/>
        <v>6064</v>
      </c>
      <c r="EE17" s="115">
        <f t="shared" si="6"/>
        <v>14235</v>
      </c>
      <c r="EF17" s="62">
        <f t="shared" si="6"/>
        <v>0.66999999999999993</v>
      </c>
      <c r="EG17" s="115">
        <f t="shared" si="6"/>
        <v>26</v>
      </c>
      <c r="EH17" s="115">
        <f t="shared" si="6"/>
        <v>224842.65</v>
      </c>
      <c r="EI17" s="115">
        <f t="shared" si="6"/>
        <v>29194.850000000002</v>
      </c>
      <c r="EJ17" s="115">
        <f t="shared" si="6"/>
        <v>162261.03999999998</v>
      </c>
      <c r="EK17" s="37">
        <f t="shared" si="6"/>
        <v>0.77169999999999994</v>
      </c>
      <c r="EL17" s="115">
        <f t="shared" si="6"/>
        <v>0</v>
      </c>
      <c r="EM17" s="115">
        <f t="shared" si="6"/>
        <v>88702</v>
      </c>
      <c r="EN17" s="115">
        <f t="shared" si="6"/>
        <v>10726</v>
      </c>
      <c r="EO17" s="115">
        <f t="shared" si="6"/>
        <v>44041</v>
      </c>
      <c r="EP17" s="37">
        <f t="shared" si="6"/>
        <v>0.7994</v>
      </c>
      <c r="EQ17" s="115">
        <f t="shared" si="6"/>
        <v>28</v>
      </c>
      <c r="ER17" s="115">
        <f t="shared" si="6"/>
        <v>82338</v>
      </c>
      <c r="ES17" s="115">
        <f t="shared" si="6"/>
        <v>14041</v>
      </c>
      <c r="ET17" s="115">
        <f t="shared" si="6"/>
        <v>43018</v>
      </c>
      <c r="EU17" s="62">
        <f t="shared" si="6"/>
        <v>0.75849999999999995</v>
      </c>
      <c r="EV17" s="115">
        <f t="shared" si="6"/>
        <v>16</v>
      </c>
      <c r="EW17" s="115">
        <f t="shared" si="6"/>
        <v>75053.929999999993</v>
      </c>
      <c r="EX17" s="115">
        <f t="shared" si="6"/>
        <v>3004.2999999999997</v>
      </c>
      <c r="EY17" s="115">
        <f t="shared" si="6"/>
        <v>11421.189999999999</v>
      </c>
      <c r="EZ17" s="62">
        <f>EZ13+EZ14+EZ15+EZ16</f>
        <v>0.64</v>
      </c>
    </row>
    <row r="18" spans="1:156" s="40" customFormat="1" x14ac:dyDescent="0.25">
      <c r="A18" s="19" t="s">
        <v>269</v>
      </c>
      <c r="B18" s="31">
        <f>B11+B17</f>
        <v>3</v>
      </c>
      <c r="C18" s="19">
        <f t="shared" ref="C18:BN18" si="7">C11+C17</f>
        <v>27775.81</v>
      </c>
      <c r="D18" s="19">
        <f t="shared" si="7"/>
        <v>426.92</v>
      </c>
      <c r="E18" s="19">
        <f t="shared" si="7"/>
        <v>9.86</v>
      </c>
      <c r="F18" s="31">
        <f t="shared" si="7"/>
        <v>0</v>
      </c>
      <c r="G18" s="31">
        <f t="shared" si="7"/>
        <v>3</v>
      </c>
      <c r="H18" s="31">
        <f t="shared" si="7"/>
        <v>25889</v>
      </c>
      <c r="I18" s="31">
        <f t="shared" si="7"/>
        <v>456</v>
      </c>
      <c r="J18" s="31">
        <f t="shared" si="7"/>
        <v>0</v>
      </c>
      <c r="K18" s="37">
        <f t="shared" si="7"/>
        <v>1</v>
      </c>
      <c r="L18" s="31">
        <f t="shared" si="7"/>
        <v>75</v>
      </c>
      <c r="M18" s="31">
        <f t="shared" si="7"/>
        <v>372430.13</v>
      </c>
      <c r="N18" s="31">
        <f t="shared" si="7"/>
        <v>15772.119999999999</v>
      </c>
      <c r="O18" s="31">
        <f t="shared" si="7"/>
        <v>115800.34</v>
      </c>
      <c r="P18" s="37">
        <f t="shared" si="7"/>
        <v>0.99980000000000002</v>
      </c>
      <c r="Q18" s="31">
        <f t="shared" si="7"/>
        <v>217</v>
      </c>
      <c r="R18" s="19">
        <f t="shared" si="7"/>
        <v>328642.11</v>
      </c>
      <c r="S18" s="19">
        <f t="shared" si="7"/>
        <v>14377.150000000001</v>
      </c>
      <c r="T18" s="19">
        <f t="shared" si="7"/>
        <v>136796.63</v>
      </c>
      <c r="U18" s="116">
        <f t="shared" si="7"/>
        <v>0.99999999999999989</v>
      </c>
      <c r="V18" s="31">
        <f t="shared" si="7"/>
        <v>2</v>
      </c>
      <c r="W18" s="31">
        <f t="shared" si="7"/>
        <v>51739</v>
      </c>
      <c r="X18" s="31">
        <f t="shared" si="7"/>
        <v>397</v>
      </c>
      <c r="Y18" s="31">
        <f t="shared" si="7"/>
        <v>1</v>
      </c>
      <c r="Z18" s="62">
        <f t="shared" si="7"/>
        <v>1</v>
      </c>
      <c r="AA18" s="31">
        <f t="shared" si="7"/>
        <v>76</v>
      </c>
      <c r="AB18" s="31">
        <f t="shared" si="7"/>
        <v>80866</v>
      </c>
      <c r="AC18" s="31">
        <f t="shared" si="7"/>
        <v>3381.2190000000001</v>
      </c>
      <c r="AD18" s="31">
        <f t="shared" si="7"/>
        <v>9792</v>
      </c>
      <c r="AE18" s="62">
        <f t="shared" si="7"/>
        <v>1.0001</v>
      </c>
      <c r="AF18" s="31">
        <f t="shared" si="7"/>
        <v>11</v>
      </c>
      <c r="AG18" s="31">
        <f t="shared" si="7"/>
        <v>12988</v>
      </c>
      <c r="AH18" s="31">
        <f t="shared" si="7"/>
        <v>1964</v>
      </c>
      <c r="AI18" s="31">
        <f t="shared" si="7"/>
        <v>0</v>
      </c>
      <c r="AJ18" s="62">
        <f t="shared" si="7"/>
        <v>1</v>
      </c>
      <c r="AK18" s="31">
        <f t="shared" si="7"/>
        <v>23</v>
      </c>
      <c r="AL18" s="31">
        <f t="shared" si="7"/>
        <v>6809.6200000000008</v>
      </c>
      <c r="AM18" s="31">
        <f t="shared" si="7"/>
        <v>543.97</v>
      </c>
      <c r="AN18" s="31">
        <f t="shared" si="7"/>
        <v>109.38</v>
      </c>
      <c r="AO18" s="62">
        <f t="shared" si="7"/>
        <v>1</v>
      </c>
      <c r="AP18" s="31">
        <f t="shared" si="7"/>
        <v>98</v>
      </c>
      <c r="AQ18" s="31">
        <f t="shared" si="7"/>
        <v>97872</v>
      </c>
      <c r="AR18" s="31">
        <f t="shared" si="7"/>
        <v>11400</v>
      </c>
      <c r="AS18" s="31">
        <f t="shared" si="7"/>
        <v>5424</v>
      </c>
      <c r="AT18" s="37">
        <f t="shared" si="7"/>
        <v>1</v>
      </c>
      <c r="AU18" s="31">
        <f t="shared" si="7"/>
        <v>88</v>
      </c>
      <c r="AV18" s="31">
        <f t="shared" si="7"/>
        <v>69644</v>
      </c>
      <c r="AW18" s="31">
        <f t="shared" si="7"/>
        <v>1326</v>
      </c>
      <c r="AX18" s="31">
        <f t="shared" si="7"/>
        <v>6680</v>
      </c>
      <c r="AY18" s="62">
        <f t="shared" si="7"/>
        <v>1.0001</v>
      </c>
      <c r="AZ18" s="31">
        <f t="shared" si="7"/>
        <v>163</v>
      </c>
      <c r="BA18" s="31">
        <f t="shared" si="7"/>
        <v>415280</v>
      </c>
      <c r="BB18" s="31">
        <f t="shared" si="7"/>
        <v>11988</v>
      </c>
      <c r="BC18" s="31">
        <f t="shared" si="7"/>
        <v>51810</v>
      </c>
      <c r="BD18" s="62">
        <f t="shared" si="7"/>
        <v>1</v>
      </c>
      <c r="BE18" s="31">
        <f t="shared" si="7"/>
        <v>249</v>
      </c>
      <c r="BF18" s="31">
        <f t="shared" si="7"/>
        <v>314624</v>
      </c>
      <c r="BG18" s="31">
        <f t="shared" si="7"/>
        <v>26854</v>
      </c>
      <c r="BH18" s="31">
        <f t="shared" si="7"/>
        <v>63071</v>
      </c>
      <c r="BI18" s="62">
        <f t="shared" si="7"/>
        <v>1</v>
      </c>
      <c r="BJ18" s="31">
        <f t="shared" si="7"/>
        <v>180</v>
      </c>
      <c r="BK18" s="31">
        <f t="shared" si="7"/>
        <v>171270.89</v>
      </c>
      <c r="BL18" s="31">
        <f t="shared" si="7"/>
        <v>12019.269999999999</v>
      </c>
      <c r="BM18" s="31">
        <f t="shared" si="7"/>
        <v>24846.11</v>
      </c>
      <c r="BN18" s="62">
        <f t="shared" si="7"/>
        <v>1</v>
      </c>
      <c r="BO18" s="31">
        <f t="shared" ref="BO18:DZ18" si="8">BO11+BO17</f>
        <v>11</v>
      </c>
      <c r="BP18" s="31">
        <f t="shared" si="8"/>
        <v>10958</v>
      </c>
      <c r="BQ18" s="31">
        <f t="shared" si="8"/>
        <v>541</v>
      </c>
      <c r="BR18" s="31">
        <f t="shared" si="8"/>
        <v>88</v>
      </c>
      <c r="BS18" s="62">
        <f t="shared" si="8"/>
        <v>1</v>
      </c>
      <c r="BT18" s="31">
        <f t="shared" si="8"/>
        <v>21</v>
      </c>
      <c r="BU18" s="31">
        <f t="shared" si="8"/>
        <v>14437.84</v>
      </c>
      <c r="BV18" s="31">
        <f t="shared" si="8"/>
        <v>3248.94</v>
      </c>
      <c r="BW18" s="31">
        <f t="shared" si="8"/>
        <v>89.850000000000009</v>
      </c>
      <c r="BX18" s="62">
        <f t="shared" si="8"/>
        <v>1</v>
      </c>
      <c r="BY18" s="31">
        <f t="shared" si="8"/>
        <v>44</v>
      </c>
      <c r="BZ18" s="31">
        <f t="shared" si="8"/>
        <v>43166</v>
      </c>
      <c r="CA18" s="31">
        <f t="shared" si="8"/>
        <v>731</v>
      </c>
      <c r="CB18" s="31">
        <f t="shared" si="8"/>
        <v>175</v>
      </c>
      <c r="CC18" s="62">
        <f t="shared" si="8"/>
        <v>1.01</v>
      </c>
      <c r="CD18" s="31">
        <f t="shared" si="8"/>
        <v>2</v>
      </c>
      <c r="CE18" s="19">
        <f t="shared" si="8"/>
        <v>3515.55</v>
      </c>
      <c r="CF18" s="19">
        <f t="shared" si="8"/>
        <v>92.11</v>
      </c>
      <c r="CG18" s="19">
        <f t="shared" si="8"/>
        <v>7.71</v>
      </c>
      <c r="CH18" s="62">
        <f t="shared" si="8"/>
        <v>1</v>
      </c>
      <c r="CI18" s="31">
        <f t="shared" si="8"/>
        <v>4</v>
      </c>
      <c r="CJ18" s="31">
        <f t="shared" si="8"/>
        <v>44193</v>
      </c>
      <c r="CK18" s="31">
        <f t="shared" si="8"/>
        <v>92</v>
      </c>
      <c r="CL18" s="31">
        <f t="shared" si="8"/>
        <v>0</v>
      </c>
      <c r="CM18" s="62">
        <f t="shared" si="8"/>
        <v>1</v>
      </c>
      <c r="CN18" s="31">
        <f t="shared" si="8"/>
        <v>262</v>
      </c>
      <c r="CO18" s="31">
        <f t="shared" si="8"/>
        <v>70587</v>
      </c>
      <c r="CP18" s="31">
        <f t="shared" si="8"/>
        <v>18772</v>
      </c>
      <c r="CQ18" s="31">
        <f t="shared" si="8"/>
        <v>23439</v>
      </c>
      <c r="CR18" s="62">
        <f t="shared" si="8"/>
        <v>0.99999999999999989</v>
      </c>
      <c r="CS18" s="31">
        <f t="shared" si="8"/>
        <v>22</v>
      </c>
      <c r="CT18" s="31">
        <f t="shared" si="8"/>
        <v>559</v>
      </c>
      <c r="CU18" s="31">
        <f t="shared" si="8"/>
        <v>321</v>
      </c>
      <c r="CV18" s="31">
        <f t="shared" si="8"/>
        <v>0</v>
      </c>
      <c r="CW18" s="62">
        <f t="shared" si="8"/>
        <v>1.0001</v>
      </c>
      <c r="CX18" s="31">
        <f t="shared" si="8"/>
        <v>4</v>
      </c>
      <c r="CY18" s="19">
        <f t="shared" si="8"/>
        <v>3386.01</v>
      </c>
      <c r="CZ18" s="19">
        <f t="shared" si="8"/>
        <v>1666.05</v>
      </c>
      <c r="DA18" s="19">
        <f t="shared" si="8"/>
        <v>58.82</v>
      </c>
      <c r="DB18" s="62">
        <f t="shared" si="8"/>
        <v>1</v>
      </c>
      <c r="DC18" s="31">
        <f t="shared" si="8"/>
        <v>207</v>
      </c>
      <c r="DD18" s="31">
        <f t="shared" si="8"/>
        <v>275445.53000000003</v>
      </c>
      <c r="DE18" s="31">
        <f t="shared" si="8"/>
        <v>17738.71</v>
      </c>
      <c r="DF18" s="31">
        <f t="shared" si="8"/>
        <v>27228.07</v>
      </c>
      <c r="DG18" s="62">
        <f t="shared" si="8"/>
        <v>0.99990000000000001</v>
      </c>
      <c r="DH18" s="31">
        <f t="shared" si="8"/>
        <v>54</v>
      </c>
      <c r="DI18" s="19">
        <f t="shared" si="8"/>
        <v>15552.31</v>
      </c>
      <c r="DJ18" s="19">
        <f t="shared" si="8"/>
        <v>1383.05</v>
      </c>
      <c r="DK18" s="19">
        <f t="shared" si="8"/>
        <v>225.54999999999998</v>
      </c>
      <c r="DL18" s="62">
        <f t="shared" si="8"/>
        <v>1</v>
      </c>
      <c r="DM18" s="31">
        <f t="shared" si="8"/>
        <v>164</v>
      </c>
      <c r="DN18" s="19">
        <f t="shared" si="8"/>
        <v>277774.03999999998</v>
      </c>
      <c r="DO18" s="19">
        <f t="shared" si="8"/>
        <v>11916.93</v>
      </c>
      <c r="DP18" s="19">
        <f t="shared" si="8"/>
        <v>37794.58</v>
      </c>
      <c r="DQ18" s="62">
        <f t="shared" si="8"/>
        <v>0.99990000000000001</v>
      </c>
      <c r="DR18" s="31">
        <f t="shared" si="8"/>
        <v>34</v>
      </c>
      <c r="DS18" s="19">
        <f t="shared" si="8"/>
        <v>9480.2000000000007</v>
      </c>
      <c r="DT18" s="19">
        <f t="shared" si="8"/>
        <v>1310.71</v>
      </c>
      <c r="DU18" s="19">
        <f t="shared" si="8"/>
        <v>245.08000000000004</v>
      </c>
      <c r="DV18" s="62">
        <f t="shared" si="8"/>
        <v>1</v>
      </c>
      <c r="DW18" s="31">
        <f t="shared" si="8"/>
        <v>4</v>
      </c>
      <c r="DX18" s="31">
        <f t="shared" si="8"/>
        <v>38872</v>
      </c>
      <c r="DY18" s="31">
        <f t="shared" si="8"/>
        <v>4988</v>
      </c>
      <c r="DZ18" s="31">
        <f t="shared" si="8"/>
        <v>0</v>
      </c>
      <c r="EA18" s="62">
        <f t="shared" ref="EA18:EZ18" si="9">EA11+EA17</f>
        <v>1</v>
      </c>
      <c r="EB18" s="31">
        <f t="shared" si="9"/>
        <v>133</v>
      </c>
      <c r="EC18" s="31">
        <f t="shared" si="9"/>
        <v>190549</v>
      </c>
      <c r="ED18" s="31">
        <f t="shared" si="9"/>
        <v>10223</v>
      </c>
      <c r="EE18" s="31">
        <f t="shared" si="9"/>
        <v>23432</v>
      </c>
      <c r="EF18" s="62">
        <f t="shared" si="9"/>
        <v>1.0099999999999998</v>
      </c>
      <c r="EG18" s="31">
        <f t="shared" si="9"/>
        <v>378</v>
      </c>
      <c r="EH18" s="31">
        <f t="shared" si="9"/>
        <v>272435.25</v>
      </c>
      <c r="EI18" s="31">
        <f t="shared" si="9"/>
        <v>44399.75</v>
      </c>
      <c r="EJ18" s="31">
        <f t="shared" si="9"/>
        <v>222613.69999999998</v>
      </c>
      <c r="EK18" s="37">
        <f t="shared" si="9"/>
        <v>0.99990000000000001</v>
      </c>
      <c r="EL18" s="31">
        <f t="shared" si="9"/>
        <v>0</v>
      </c>
      <c r="EM18" s="31">
        <f t="shared" si="9"/>
        <v>105220</v>
      </c>
      <c r="EN18" s="31">
        <f t="shared" si="9"/>
        <v>20883</v>
      </c>
      <c r="EO18" s="31">
        <f t="shared" si="9"/>
        <v>53364</v>
      </c>
      <c r="EP18" s="37">
        <f t="shared" si="9"/>
        <v>1</v>
      </c>
      <c r="EQ18" s="31">
        <f t="shared" si="9"/>
        <v>200</v>
      </c>
      <c r="ER18" s="31">
        <f t="shared" si="9"/>
        <v>104348</v>
      </c>
      <c r="ES18" s="31">
        <f t="shared" si="9"/>
        <v>25196</v>
      </c>
      <c r="ET18" s="31">
        <f t="shared" si="9"/>
        <v>54247</v>
      </c>
      <c r="EU18" s="62">
        <f t="shared" si="9"/>
        <v>1</v>
      </c>
      <c r="EV18" s="31">
        <f t="shared" si="9"/>
        <v>102</v>
      </c>
      <c r="EW18" s="31">
        <f t="shared" si="9"/>
        <v>102434.28</v>
      </c>
      <c r="EX18" s="31">
        <f t="shared" si="9"/>
        <v>5115.2299999999996</v>
      </c>
      <c r="EY18" s="31">
        <f t="shared" si="9"/>
        <v>32076.21</v>
      </c>
      <c r="EZ18" s="62">
        <f t="shared" si="9"/>
        <v>1</v>
      </c>
    </row>
  </sheetData>
  <mergeCells count="125">
    <mergeCell ref="B3:B4"/>
    <mergeCell ref="C3:E3"/>
    <mergeCell ref="F3:F4"/>
    <mergeCell ref="G3:G4"/>
    <mergeCell ref="H3:J3"/>
    <mergeCell ref="K3:K4"/>
    <mergeCell ref="L3:L4"/>
    <mergeCell ref="DH2:DL2"/>
    <mergeCell ref="DR2:DV2"/>
    <mergeCell ref="CD2:CH2"/>
    <mergeCell ref="CI2:CM2"/>
    <mergeCell ref="CN2:CR2"/>
    <mergeCell ref="CS2:CW2"/>
    <mergeCell ref="CX2:DB2"/>
    <mergeCell ref="DC2:DG2"/>
    <mergeCell ref="AZ2:BD2"/>
    <mergeCell ref="BE2:BI2"/>
    <mergeCell ref="B2:F2"/>
    <mergeCell ref="G2:K2"/>
    <mergeCell ref="L2:P2"/>
    <mergeCell ref="Q2:U2"/>
    <mergeCell ref="V2:Z2"/>
    <mergeCell ref="BJ2:BN2"/>
    <mergeCell ref="BO2:BS2"/>
    <mergeCell ref="M3:O3"/>
    <mergeCell ref="AB3:AD3"/>
    <mergeCell ref="AE3:AE4"/>
    <mergeCell ref="AF3:AF4"/>
    <mergeCell ref="AG3:AI3"/>
    <mergeCell ref="EQ2:EU2"/>
    <mergeCell ref="EV2:EZ2"/>
    <mergeCell ref="DM2:DQ2"/>
    <mergeCell ref="DW2:EA2"/>
    <mergeCell ref="EB2:EF2"/>
    <mergeCell ref="EG2:EK2"/>
    <mergeCell ref="EL2:EP2"/>
    <mergeCell ref="BT2:BX2"/>
    <mergeCell ref="BY2:CC2"/>
    <mergeCell ref="AA2:AE2"/>
    <mergeCell ref="AF2:AJ2"/>
    <mergeCell ref="AK2:AO2"/>
    <mergeCell ref="AP2:AT2"/>
    <mergeCell ref="AU2:AY2"/>
    <mergeCell ref="AJ3:AJ4"/>
    <mergeCell ref="AK3:AK4"/>
    <mergeCell ref="BA3:BC3"/>
    <mergeCell ref="P3:P4"/>
    <mergeCell ref="Q3:Q4"/>
    <mergeCell ref="R3:T3"/>
    <mergeCell ref="U3:U4"/>
    <mergeCell ref="AL3:AN3"/>
    <mergeCell ref="AO3:AO4"/>
    <mergeCell ref="AP3:AP4"/>
    <mergeCell ref="AQ3:AS3"/>
    <mergeCell ref="V3:V4"/>
    <mergeCell ref="W3:Y3"/>
    <mergeCell ref="Z3:Z4"/>
    <mergeCell ref="AA3:AA4"/>
    <mergeCell ref="BD3:BD4"/>
    <mergeCell ref="BE3:BE4"/>
    <mergeCell ref="BF3:BH3"/>
    <mergeCell ref="BI3:BI4"/>
    <mergeCell ref="BJ3:BJ4"/>
    <mergeCell ref="AV3:AX3"/>
    <mergeCell ref="AY3:AY4"/>
    <mergeCell ref="AZ3:AZ4"/>
    <mergeCell ref="AT3:AT4"/>
    <mergeCell ref="AU3:AU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CY3:DA3"/>
    <mergeCell ref="DB3:DB4"/>
    <mergeCell ref="DC3:DC4"/>
    <mergeCell ref="DD3:DF3"/>
    <mergeCell ref="DG3:DG4"/>
    <mergeCell ref="DH3:DH4"/>
    <mergeCell ref="DM3:DM4"/>
    <mergeCell ref="DN3:DP3"/>
    <mergeCell ref="DQ3:DQ4"/>
    <mergeCell ref="A3:A4"/>
    <mergeCell ref="ER3:ET3"/>
    <mergeCell ref="EU3:EU4"/>
    <mergeCell ref="EV3:EV4"/>
    <mergeCell ref="EW3:EY3"/>
    <mergeCell ref="EZ3:EZ4"/>
    <mergeCell ref="EH3:EJ3"/>
    <mergeCell ref="EK3:EK4"/>
    <mergeCell ref="EL3:EL4"/>
    <mergeCell ref="EM3:EO3"/>
    <mergeCell ref="EP3:EP4"/>
    <mergeCell ref="EQ3:EQ4"/>
    <mergeCell ref="DX3:DZ3"/>
    <mergeCell ref="EA3:EA4"/>
    <mergeCell ref="EB3:EB4"/>
    <mergeCell ref="EC3:EE3"/>
    <mergeCell ref="EF3:EF4"/>
    <mergeCell ref="EG3:EG4"/>
    <mergeCell ref="DI3:DK3"/>
    <mergeCell ref="DL3:DL4"/>
    <mergeCell ref="DR3:DR4"/>
    <mergeCell ref="DS3:DU3"/>
    <mergeCell ref="DV3:DV4"/>
    <mergeCell ref="DW3:DW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2" width="16" style="6" customWidth="1"/>
    <col min="23" max="23" width="16" style="38" customWidth="1"/>
    <col min="24" max="24" width="16" style="6" customWidth="1"/>
    <col min="25" max="25" width="16" style="38" customWidth="1"/>
    <col min="26" max="54" width="16" style="6" customWidth="1"/>
    <col min="55" max="55" width="16" style="38" customWidth="1"/>
    <col min="56" max="56" width="16" style="6" customWidth="1"/>
    <col min="57" max="57" width="16" style="38" customWidth="1"/>
    <col min="58" max="110" width="16" style="6" customWidth="1"/>
    <col min="111" max="111" width="16" style="38" customWidth="1"/>
    <col min="112" max="112" width="16" style="6" customWidth="1"/>
    <col min="113" max="113" width="16" style="38" customWidth="1"/>
    <col min="114" max="125" width="16" style="6" customWidth="1"/>
    <col min="126" max="16384" width="9.140625" style="6"/>
  </cols>
  <sheetData>
    <row r="1" spans="1:125" ht="18.75" x14ac:dyDescent="0.3">
      <c r="A1" s="12" t="s">
        <v>248</v>
      </c>
    </row>
    <row r="2" spans="1:125" x14ac:dyDescent="0.25">
      <c r="A2" s="6" t="s">
        <v>111</v>
      </c>
    </row>
    <row r="3" spans="1:125" x14ac:dyDescent="0.25">
      <c r="A3" s="1" t="s">
        <v>0</v>
      </c>
      <c r="B3" s="172" t="s">
        <v>1</v>
      </c>
      <c r="C3" s="172"/>
      <c r="D3" s="172"/>
      <c r="E3" s="172"/>
      <c r="F3" s="172" t="s">
        <v>234</v>
      </c>
      <c r="G3" s="172"/>
      <c r="H3" s="172"/>
      <c r="I3" s="172"/>
      <c r="J3" s="172" t="s">
        <v>2</v>
      </c>
      <c r="K3" s="172"/>
      <c r="L3" s="172"/>
      <c r="M3" s="172"/>
      <c r="N3" s="172" t="s">
        <v>3</v>
      </c>
      <c r="O3" s="172"/>
      <c r="P3" s="172"/>
      <c r="Q3" s="172"/>
      <c r="R3" s="172" t="s">
        <v>243</v>
      </c>
      <c r="S3" s="172"/>
      <c r="T3" s="172"/>
      <c r="U3" s="172"/>
      <c r="V3" s="153" t="s">
        <v>235</v>
      </c>
      <c r="W3" s="174"/>
      <c r="X3" s="174"/>
      <c r="Y3" s="154"/>
      <c r="Z3" s="153" t="s">
        <v>5</v>
      </c>
      <c r="AA3" s="174"/>
      <c r="AB3" s="174"/>
      <c r="AC3" s="154"/>
      <c r="AD3" s="153" t="s">
        <v>4</v>
      </c>
      <c r="AE3" s="174"/>
      <c r="AF3" s="174"/>
      <c r="AG3" s="154"/>
      <c r="AH3" s="153" t="s">
        <v>6</v>
      </c>
      <c r="AI3" s="174"/>
      <c r="AJ3" s="174"/>
      <c r="AK3" s="154"/>
      <c r="AL3" s="153" t="s">
        <v>246</v>
      </c>
      <c r="AM3" s="174"/>
      <c r="AN3" s="174"/>
      <c r="AO3" s="154"/>
      <c r="AP3" s="153" t="s">
        <v>7</v>
      </c>
      <c r="AQ3" s="174"/>
      <c r="AR3" s="174"/>
      <c r="AS3" s="154"/>
      <c r="AT3" s="153" t="s">
        <v>8</v>
      </c>
      <c r="AU3" s="174"/>
      <c r="AV3" s="174"/>
      <c r="AW3" s="154"/>
      <c r="AX3" s="153" t="s">
        <v>9</v>
      </c>
      <c r="AY3" s="174"/>
      <c r="AZ3" s="174"/>
      <c r="BA3" s="154"/>
      <c r="BB3" s="153" t="s">
        <v>242</v>
      </c>
      <c r="BC3" s="174"/>
      <c r="BD3" s="174"/>
      <c r="BE3" s="154"/>
      <c r="BF3" s="153" t="s">
        <v>10</v>
      </c>
      <c r="BG3" s="174"/>
      <c r="BH3" s="174"/>
      <c r="BI3" s="154"/>
      <c r="BJ3" s="153" t="s">
        <v>11</v>
      </c>
      <c r="BK3" s="174"/>
      <c r="BL3" s="174"/>
      <c r="BM3" s="154"/>
      <c r="BN3" s="153" t="s">
        <v>236</v>
      </c>
      <c r="BO3" s="174"/>
      <c r="BP3" s="174"/>
      <c r="BQ3" s="154"/>
      <c r="BR3" s="153" t="s">
        <v>245</v>
      </c>
      <c r="BS3" s="174"/>
      <c r="BT3" s="174"/>
      <c r="BU3" s="154"/>
      <c r="BV3" s="153" t="s">
        <v>12</v>
      </c>
      <c r="BW3" s="174"/>
      <c r="BX3" s="174"/>
      <c r="BY3" s="154"/>
      <c r="BZ3" s="153" t="s">
        <v>237</v>
      </c>
      <c r="CA3" s="174"/>
      <c r="CB3" s="174"/>
      <c r="CC3" s="154"/>
      <c r="CD3" s="153" t="s">
        <v>238</v>
      </c>
      <c r="CE3" s="174"/>
      <c r="CF3" s="174"/>
      <c r="CG3" s="154"/>
      <c r="CH3" s="153" t="s">
        <v>241</v>
      </c>
      <c r="CI3" s="174"/>
      <c r="CJ3" s="174"/>
      <c r="CK3" s="154"/>
      <c r="CL3" s="172" t="s">
        <v>13</v>
      </c>
      <c r="CM3" s="172"/>
      <c r="CN3" s="172"/>
      <c r="CO3" s="172"/>
      <c r="CP3" s="172" t="s">
        <v>14</v>
      </c>
      <c r="CQ3" s="172"/>
      <c r="CR3" s="172"/>
      <c r="CS3" s="172"/>
      <c r="CT3" s="172" t="s">
        <v>15</v>
      </c>
      <c r="CU3" s="172"/>
      <c r="CV3" s="172"/>
      <c r="CW3" s="172"/>
      <c r="CX3" s="172" t="s">
        <v>16</v>
      </c>
      <c r="CY3" s="172"/>
      <c r="CZ3" s="172"/>
      <c r="DA3" s="172"/>
      <c r="DB3" s="172" t="s">
        <v>17</v>
      </c>
      <c r="DC3" s="172"/>
      <c r="DD3" s="172"/>
      <c r="DE3" s="172"/>
      <c r="DF3" s="172" t="s">
        <v>239</v>
      </c>
      <c r="DG3" s="172"/>
      <c r="DH3" s="172"/>
      <c r="DI3" s="172"/>
      <c r="DJ3" s="172" t="s">
        <v>240</v>
      </c>
      <c r="DK3" s="172"/>
      <c r="DL3" s="172"/>
      <c r="DM3" s="172"/>
      <c r="DN3" s="173" t="s">
        <v>18</v>
      </c>
      <c r="DO3" s="173"/>
      <c r="DP3" s="173"/>
      <c r="DQ3" s="173"/>
      <c r="DR3" s="161" t="s">
        <v>19</v>
      </c>
      <c r="DS3" s="161"/>
      <c r="DT3" s="161"/>
      <c r="DU3" s="161"/>
    </row>
    <row r="4" spans="1:125" ht="15" customHeight="1" x14ac:dyDescent="0.25">
      <c r="A4" s="1"/>
      <c r="B4" s="165" t="s">
        <v>303</v>
      </c>
      <c r="C4" s="165"/>
      <c r="D4" s="171" t="s">
        <v>302</v>
      </c>
      <c r="E4" s="171"/>
      <c r="F4" s="165" t="s">
        <v>303</v>
      </c>
      <c r="G4" s="165"/>
      <c r="H4" s="171" t="s">
        <v>302</v>
      </c>
      <c r="I4" s="171"/>
      <c r="J4" s="165" t="s">
        <v>303</v>
      </c>
      <c r="K4" s="165"/>
      <c r="L4" s="171" t="s">
        <v>302</v>
      </c>
      <c r="M4" s="171"/>
      <c r="N4" s="165" t="s">
        <v>303</v>
      </c>
      <c r="O4" s="165"/>
      <c r="P4" s="171" t="s">
        <v>302</v>
      </c>
      <c r="Q4" s="171"/>
      <c r="R4" s="165" t="s">
        <v>303</v>
      </c>
      <c r="S4" s="165"/>
      <c r="T4" s="171" t="s">
        <v>302</v>
      </c>
      <c r="U4" s="171"/>
      <c r="V4" s="165" t="s">
        <v>303</v>
      </c>
      <c r="W4" s="165"/>
      <c r="X4" s="171" t="s">
        <v>302</v>
      </c>
      <c r="Y4" s="171"/>
      <c r="Z4" s="165" t="s">
        <v>303</v>
      </c>
      <c r="AA4" s="165"/>
      <c r="AB4" s="171" t="s">
        <v>302</v>
      </c>
      <c r="AC4" s="171"/>
      <c r="AD4" s="165" t="s">
        <v>303</v>
      </c>
      <c r="AE4" s="165"/>
      <c r="AF4" s="171" t="s">
        <v>302</v>
      </c>
      <c r="AG4" s="171"/>
      <c r="AH4" s="165" t="s">
        <v>303</v>
      </c>
      <c r="AI4" s="165"/>
      <c r="AJ4" s="171" t="s">
        <v>302</v>
      </c>
      <c r="AK4" s="171"/>
      <c r="AL4" s="165" t="s">
        <v>303</v>
      </c>
      <c r="AM4" s="165"/>
      <c r="AN4" s="171" t="s">
        <v>302</v>
      </c>
      <c r="AO4" s="171"/>
      <c r="AP4" s="165" t="s">
        <v>303</v>
      </c>
      <c r="AQ4" s="165"/>
      <c r="AR4" s="171" t="s">
        <v>302</v>
      </c>
      <c r="AS4" s="171"/>
      <c r="AT4" s="165" t="s">
        <v>303</v>
      </c>
      <c r="AU4" s="165"/>
      <c r="AV4" s="171" t="s">
        <v>302</v>
      </c>
      <c r="AW4" s="171"/>
      <c r="AX4" s="165" t="s">
        <v>303</v>
      </c>
      <c r="AY4" s="165"/>
      <c r="AZ4" s="171" t="s">
        <v>302</v>
      </c>
      <c r="BA4" s="171"/>
      <c r="BB4" s="165" t="s">
        <v>303</v>
      </c>
      <c r="BC4" s="165"/>
      <c r="BD4" s="171" t="s">
        <v>302</v>
      </c>
      <c r="BE4" s="171"/>
      <c r="BF4" s="165" t="s">
        <v>303</v>
      </c>
      <c r="BG4" s="165"/>
      <c r="BH4" s="171" t="s">
        <v>302</v>
      </c>
      <c r="BI4" s="171"/>
      <c r="BJ4" s="165" t="s">
        <v>303</v>
      </c>
      <c r="BK4" s="165"/>
      <c r="BL4" s="171" t="s">
        <v>302</v>
      </c>
      <c r="BM4" s="171"/>
      <c r="BN4" s="165" t="s">
        <v>303</v>
      </c>
      <c r="BO4" s="165"/>
      <c r="BP4" s="171" t="s">
        <v>302</v>
      </c>
      <c r="BQ4" s="171"/>
      <c r="BR4" s="165" t="s">
        <v>303</v>
      </c>
      <c r="BS4" s="165"/>
      <c r="BT4" s="171" t="s">
        <v>302</v>
      </c>
      <c r="BU4" s="171"/>
      <c r="BV4" s="165" t="s">
        <v>303</v>
      </c>
      <c r="BW4" s="165"/>
      <c r="BX4" s="171" t="s">
        <v>302</v>
      </c>
      <c r="BY4" s="171"/>
      <c r="BZ4" s="165" t="s">
        <v>303</v>
      </c>
      <c r="CA4" s="165"/>
      <c r="CB4" s="171" t="s">
        <v>302</v>
      </c>
      <c r="CC4" s="171"/>
      <c r="CD4" s="165" t="s">
        <v>303</v>
      </c>
      <c r="CE4" s="165"/>
      <c r="CF4" s="171" t="s">
        <v>302</v>
      </c>
      <c r="CG4" s="171"/>
      <c r="CH4" s="165" t="s">
        <v>303</v>
      </c>
      <c r="CI4" s="165"/>
      <c r="CJ4" s="171" t="s">
        <v>302</v>
      </c>
      <c r="CK4" s="171"/>
      <c r="CL4" s="165" t="s">
        <v>303</v>
      </c>
      <c r="CM4" s="165"/>
      <c r="CN4" s="171" t="s">
        <v>302</v>
      </c>
      <c r="CO4" s="171"/>
      <c r="CP4" s="165" t="s">
        <v>303</v>
      </c>
      <c r="CQ4" s="165"/>
      <c r="CR4" s="171" t="s">
        <v>302</v>
      </c>
      <c r="CS4" s="171"/>
      <c r="CT4" s="165" t="s">
        <v>303</v>
      </c>
      <c r="CU4" s="165"/>
      <c r="CV4" s="171" t="s">
        <v>302</v>
      </c>
      <c r="CW4" s="171"/>
      <c r="CX4" s="165" t="s">
        <v>303</v>
      </c>
      <c r="CY4" s="165"/>
      <c r="CZ4" s="171" t="s">
        <v>302</v>
      </c>
      <c r="DA4" s="171"/>
      <c r="DB4" s="165" t="s">
        <v>303</v>
      </c>
      <c r="DC4" s="165"/>
      <c r="DD4" s="171" t="s">
        <v>302</v>
      </c>
      <c r="DE4" s="171"/>
      <c r="DF4" s="165" t="s">
        <v>303</v>
      </c>
      <c r="DG4" s="165"/>
      <c r="DH4" s="171" t="s">
        <v>302</v>
      </c>
      <c r="DI4" s="171"/>
      <c r="DJ4" s="165" t="s">
        <v>303</v>
      </c>
      <c r="DK4" s="165"/>
      <c r="DL4" s="171" t="s">
        <v>302</v>
      </c>
      <c r="DM4" s="171"/>
      <c r="DN4" s="165" t="s">
        <v>303</v>
      </c>
      <c r="DO4" s="165"/>
      <c r="DP4" s="171" t="s">
        <v>302</v>
      </c>
      <c r="DQ4" s="171"/>
      <c r="DR4" s="165" t="s">
        <v>303</v>
      </c>
      <c r="DS4" s="165"/>
      <c r="DT4" s="171" t="s">
        <v>302</v>
      </c>
      <c r="DU4" s="171"/>
    </row>
    <row r="5" spans="1:125" s="58" customFormat="1" x14ac:dyDescent="0.25">
      <c r="A5" s="57"/>
      <c r="B5" s="80" t="s">
        <v>121</v>
      </c>
      <c r="C5" s="80" t="s">
        <v>122</v>
      </c>
      <c r="D5" s="80" t="s">
        <v>121</v>
      </c>
      <c r="E5" s="80" t="s">
        <v>122</v>
      </c>
      <c r="F5" s="80" t="s">
        <v>121</v>
      </c>
      <c r="G5" s="80" t="s">
        <v>122</v>
      </c>
      <c r="H5" s="80" t="s">
        <v>121</v>
      </c>
      <c r="I5" s="80" t="s">
        <v>122</v>
      </c>
      <c r="J5" s="80" t="s">
        <v>121</v>
      </c>
      <c r="K5" s="80" t="s">
        <v>122</v>
      </c>
      <c r="L5" s="80" t="s">
        <v>121</v>
      </c>
      <c r="M5" s="80" t="s">
        <v>122</v>
      </c>
      <c r="N5" s="80" t="s">
        <v>121</v>
      </c>
      <c r="O5" s="80" t="s">
        <v>122</v>
      </c>
      <c r="P5" s="80" t="s">
        <v>121</v>
      </c>
      <c r="Q5" s="80" t="s">
        <v>122</v>
      </c>
      <c r="R5" s="80" t="s">
        <v>121</v>
      </c>
      <c r="S5" s="80" t="s">
        <v>122</v>
      </c>
      <c r="T5" s="80" t="s">
        <v>121</v>
      </c>
      <c r="U5" s="80" t="s">
        <v>122</v>
      </c>
      <c r="V5" s="80" t="s">
        <v>121</v>
      </c>
      <c r="W5" s="80" t="s">
        <v>122</v>
      </c>
      <c r="X5" s="80" t="s">
        <v>121</v>
      </c>
      <c r="Y5" s="80" t="s">
        <v>122</v>
      </c>
      <c r="Z5" s="80" t="s">
        <v>121</v>
      </c>
      <c r="AA5" s="80" t="s">
        <v>122</v>
      </c>
      <c r="AB5" s="80" t="s">
        <v>121</v>
      </c>
      <c r="AC5" s="80" t="s">
        <v>122</v>
      </c>
      <c r="AD5" s="80" t="s">
        <v>121</v>
      </c>
      <c r="AE5" s="80" t="s">
        <v>122</v>
      </c>
      <c r="AF5" s="80" t="s">
        <v>121</v>
      </c>
      <c r="AG5" s="80" t="s">
        <v>122</v>
      </c>
      <c r="AH5" s="80" t="s">
        <v>121</v>
      </c>
      <c r="AI5" s="80" t="s">
        <v>122</v>
      </c>
      <c r="AJ5" s="80" t="s">
        <v>121</v>
      </c>
      <c r="AK5" s="80" t="s">
        <v>122</v>
      </c>
      <c r="AL5" s="80" t="s">
        <v>121</v>
      </c>
      <c r="AM5" s="80" t="s">
        <v>122</v>
      </c>
      <c r="AN5" s="80" t="s">
        <v>121</v>
      </c>
      <c r="AO5" s="80" t="s">
        <v>122</v>
      </c>
      <c r="AP5" s="80" t="s">
        <v>121</v>
      </c>
      <c r="AQ5" s="80" t="s">
        <v>122</v>
      </c>
      <c r="AR5" s="80" t="s">
        <v>121</v>
      </c>
      <c r="AS5" s="80" t="s">
        <v>122</v>
      </c>
      <c r="AT5" s="80" t="s">
        <v>121</v>
      </c>
      <c r="AU5" s="80" t="s">
        <v>122</v>
      </c>
      <c r="AV5" s="80" t="s">
        <v>121</v>
      </c>
      <c r="AW5" s="80" t="s">
        <v>122</v>
      </c>
      <c r="AX5" s="80" t="s">
        <v>121</v>
      </c>
      <c r="AY5" s="80" t="s">
        <v>122</v>
      </c>
      <c r="AZ5" s="80" t="s">
        <v>121</v>
      </c>
      <c r="BA5" s="80" t="s">
        <v>122</v>
      </c>
      <c r="BB5" s="80" t="s">
        <v>121</v>
      </c>
      <c r="BC5" s="80" t="s">
        <v>122</v>
      </c>
      <c r="BD5" s="80" t="s">
        <v>121</v>
      </c>
      <c r="BE5" s="80" t="s">
        <v>122</v>
      </c>
      <c r="BF5" s="80" t="s">
        <v>121</v>
      </c>
      <c r="BG5" s="80" t="s">
        <v>122</v>
      </c>
      <c r="BH5" s="80" t="s">
        <v>121</v>
      </c>
      <c r="BI5" s="80" t="s">
        <v>122</v>
      </c>
      <c r="BJ5" s="80" t="s">
        <v>121</v>
      </c>
      <c r="BK5" s="80" t="s">
        <v>122</v>
      </c>
      <c r="BL5" s="80" t="s">
        <v>121</v>
      </c>
      <c r="BM5" s="80" t="s">
        <v>122</v>
      </c>
      <c r="BN5" s="80" t="s">
        <v>121</v>
      </c>
      <c r="BO5" s="80" t="s">
        <v>122</v>
      </c>
      <c r="BP5" s="80" t="s">
        <v>121</v>
      </c>
      <c r="BQ5" s="80" t="s">
        <v>122</v>
      </c>
      <c r="BR5" s="80" t="s">
        <v>121</v>
      </c>
      <c r="BS5" s="80" t="s">
        <v>122</v>
      </c>
      <c r="BT5" s="80" t="s">
        <v>121</v>
      </c>
      <c r="BU5" s="80" t="s">
        <v>122</v>
      </c>
      <c r="BV5" s="80" t="s">
        <v>121</v>
      </c>
      <c r="BW5" s="80" t="s">
        <v>122</v>
      </c>
      <c r="BX5" s="80" t="s">
        <v>121</v>
      </c>
      <c r="BY5" s="80" t="s">
        <v>122</v>
      </c>
      <c r="BZ5" s="80" t="s">
        <v>121</v>
      </c>
      <c r="CA5" s="80" t="s">
        <v>122</v>
      </c>
      <c r="CB5" s="80" t="s">
        <v>121</v>
      </c>
      <c r="CC5" s="80" t="s">
        <v>122</v>
      </c>
      <c r="CD5" s="80" t="s">
        <v>121</v>
      </c>
      <c r="CE5" s="80" t="s">
        <v>122</v>
      </c>
      <c r="CF5" s="80" t="s">
        <v>121</v>
      </c>
      <c r="CG5" s="80" t="s">
        <v>122</v>
      </c>
      <c r="CH5" s="80" t="s">
        <v>121</v>
      </c>
      <c r="CI5" s="80" t="s">
        <v>122</v>
      </c>
      <c r="CJ5" s="80" t="s">
        <v>121</v>
      </c>
      <c r="CK5" s="80" t="s">
        <v>122</v>
      </c>
      <c r="CL5" s="80" t="s">
        <v>121</v>
      </c>
      <c r="CM5" s="80" t="s">
        <v>122</v>
      </c>
      <c r="CN5" s="80" t="s">
        <v>121</v>
      </c>
      <c r="CO5" s="80" t="s">
        <v>122</v>
      </c>
      <c r="CP5" s="80" t="s">
        <v>121</v>
      </c>
      <c r="CQ5" s="80" t="s">
        <v>122</v>
      </c>
      <c r="CR5" s="80" t="s">
        <v>121</v>
      </c>
      <c r="CS5" s="80" t="s">
        <v>122</v>
      </c>
      <c r="CT5" s="80" t="s">
        <v>121</v>
      </c>
      <c r="CU5" s="80" t="s">
        <v>122</v>
      </c>
      <c r="CV5" s="80" t="s">
        <v>121</v>
      </c>
      <c r="CW5" s="80" t="s">
        <v>122</v>
      </c>
      <c r="CX5" s="80" t="s">
        <v>121</v>
      </c>
      <c r="CY5" s="80" t="s">
        <v>122</v>
      </c>
      <c r="CZ5" s="80" t="s">
        <v>121</v>
      </c>
      <c r="DA5" s="80" t="s">
        <v>122</v>
      </c>
      <c r="DB5" s="80" t="s">
        <v>121</v>
      </c>
      <c r="DC5" s="80" t="s">
        <v>122</v>
      </c>
      <c r="DD5" s="80" t="s">
        <v>121</v>
      </c>
      <c r="DE5" s="80" t="s">
        <v>122</v>
      </c>
      <c r="DF5" s="80" t="s">
        <v>121</v>
      </c>
      <c r="DG5" s="80" t="s">
        <v>122</v>
      </c>
      <c r="DH5" s="80" t="s">
        <v>121</v>
      </c>
      <c r="DI5" s="80" t="s">
        <v>122</v>
      </c>
      <c r="DJ5" s="80" t="s">
        <v>121</v>
      </c>
      <c r="DK5" s="80" t="s">
        <v>122</v>
      </c>
      <c r="DL5" s="80" t="s">
        <v>121</v>
      </c>
      <c r="DM5" s="80" t="s">
        <v>122</v>
      </c>
      <c r="DN5" s="80" t="s">
        <v>121</v>
      </c>
      <c r="DO5" s="80" t="s">
        <v>122</v>
      </c>
      <c r="DP5" s="80" t="s">
        <v>121</v>
      </c>
      <c r="DQ5" s="80" t="s">
        <v>122</v>
      </c>
      <c r="DR5" s="80" t="s">
        <v>121</v>
      </c>
      <c r="DS5" s="80" t="s">
        <v>122</v>
      </c>
      <c r="DT5" s="80" t="s">
        <v>121</v>
      </c>
      <c r="DU5" s="80" t="s">
        <v>122</v>
      </c>
    </row>
    <row r="6" spans="1:125" x14ac:dyDescent="0.25">
      <c r="A6" s="76" t="s">
        <v>112</v>
      </c>
      <c r="B6" s="92"/>
      <c r="C6" s="92"/>
      <c r="D6" s="92"/>
      <c r="E6" s="92"/>
      <c r="F6" s="92">
        <v>39045</v>
      </c>
      <c r="G6" s="92">
        <v>6022</v>
      </c>
      <c r="H6" s="92">
        <v>122903</v>
      </c>
      <c r="I6" s="92">
        <v>17802</v>
      </c>
      <c r="J6" s="92"/>
      <c r="K6" s="92"/>
      <c r="L6" s="92"/>
      <c r="M6" s="92"/>
      <c r="N6" s="92">
        <v>222636</v>
      </c>
      <c r="O6" s="92">
        <v>51197</v>
      </c>
      <c r="P6" s="92">
        <v>1704083</v>
      </c>
      <c r="Q6" s="92">
        <v>146763</v>
      </c>
      <c r="R6" s="92">
        <v>164281</v>
      </c>
      <c r="S6" s="92">
        <v>32284</v>
      </c>
      <c r="T6" s="92">
        <v>474368</v>
      </c>
      <c r="U6" s="92">
        <v>90635</v>
      </c>
      <c r="V6" s="92">
        <v>9841</v>
      </c>
      <c r="W6" s="92">
        <v>1332</v>
      </c>
      <c r="X6" s="92">
        <v>30057</v>
      </c>
      <c r="Y6" s="92">
        <v>3713</v>
      </c>
      <c r="Z6" s="92"/>
      <c r="AA6" s="92"/>
      <c r="AB6" s="92"/>
      <c r="AC6" s="92"/>
      <c r="AD6" s="92">
        <v>1371</v>
      </c>
      <c r="AE6" s="92">
        <v>179.01</v>
      </c>
      <c r="AF6" s="92">
        <v>4079</v>
      </c>
      <c r="AG6" s="92">
        <v>484.48</v>
      </c>
      <c r="AH6" s="92">
        <v>249624</v>
      </c>
      <c r="AI6" s="92">
        <v>19033.419999999998</v>
      </c>
      <c r="AJ6" s="92">
        <v>477026</v>
      </c>
      <c r="AK6" s="92">
        <v>40420.03</v>
      </c>
      <c r="AL6" s="92">
        <v>73535</v>
      </c>
      <c r="AM6" s="92">
        <v>5495</v>
      </c>
      <c r="AN6" s="92">
        <v>179262</v>
      </c>
      <c r="AO6" s="92">
        <v>12372</v>
      </c>
      <c r="AP6" s="92">
        <v>410497</v>
      </c>
      <c r="AQ6" s="92">
        <v>68388</v>
      </c>
      <c r="AR6" s="92">
        <v>1175309</v>
      </c>
      <c r="AS6" s="92">
        <v>189226</v>
      </c>
      <c r="AT6" s="92">
        <v>477902</v>
      </c>
      <c r="AU6" s="92">
        <v>52178</v>
      </c>
      <c r="AV6" s="92">
        <v>1154306</v>
      </c>
      <c r="AW6" s="92">
        <v>143540</v>
      </c>
      <c r="AX6" s="92">
        <v>647610</v>
      </c>
      <c r="AY6" s="92">
        <v>38204</v>
      </c>
      <c r="AZ6" s="92">
        <v>1812082</v>
      </c>
      <c r="BA6" s="92">
        <v>101077.06</v>
      </c>
      <c r="BB6" s="92">
        <v>3142</v>
      </c>
      <c r="BC6" s="92">
        <v>423.9</v>
      </c>
      <c r="BD6" s="92">
        <v>7884</v>
      </c>
      <c r="BE6" s="92">
        <v>1068.05</v>
      </c>
      <c r="BF6" s="92">
        <v>29292</v>
      </c>
      <c r="BG6" s="92">
        <v>2667.4556520000001</v>
      </c>
      <c r="BH6" s="92">
        <v>86737</v>
      </c>
      <c r="BI6" s="92">
        <v>7871.2802700000002</v>
      </c>
      <c r="BJ6" s="92">
        <v>17654</v>
      </c>
      <c r="BK6" s="92">
        <v>2102</v>
      </c>
      <c r="BL6" s="92">
        <v>45767</v>
      </c>
      <c r="BM6" s="92">
        <v>5143</v>
      </c>
      <c r="BN6" s="147">
        <v>33783</v>
      </c>
      <c r="BO6" s="147">
        <v>5691</v>
      </c>
      <c r="BP6" s="147">
        <v>103836</v>
      </c>
      <c r="BQ6" s="147">
        <v>17268</v>
      </c>
      <c r="BR6" s="123">
        <v>119032</v>
      </c>
      <c r="BS6" s="123">
        <v>24717</v>
      </c>
      <c r="BT6" s="81">
        <v>342045</v>
      </c>
      <c r="BU6" s="81">
        <v>68780</v>
      </c>
      <c r="BV6" s="92">
        <v>1806176</v>
      </c>
      <c r="BW6" s="92">
        <v>150765.89000000001</v>
      </c>
      <c r="BX6" s="92">
        <v>4902441</v>
      </c>
      <c r="BY6" s="92">
        <v>420353.49</v>
      </c>
      <c r="BZ6" s="92"/>
      <c r="CA6" s="92"/>
      <c r="CB6" s="92"/>
      <c r="CC6" s="92"/>
      <c r="CD6" s="92">
        <v>751</v>
      </c>
      <c r="CE6" s="92">
        <v>150.36000000000001</v>
      </c>
      <c r="CF6" s="92">
        <v>2917</v>
      </c>
      <c r="CG6" s="92">
        <v>517.79</v>
      </c>
      <c r="CH6" s="92">
        <v>316181</v>
      </c>
      <c r="CI6" s="92">
        <v>21519</v>
      </c>
      <c r="CJ6" s="92">
        <v>853071</v>
      </c>
      <c r="CK6" s="92">
        <v>65455</v>
      </c>
      <c r="CL6" s="92">
        <v>17810</v>
      </c>
      <c r="CM6" s="92">
        <v>2253</v>
      </c>
      <c r="CN6" s="92">
        <v>40025</v>
      </c>
      <c r="CO6" s="92">
        <v>6055</v>
      </c>
      <c r="CP6" s="92">
        <v>73648</v>
      </c>
      <c r="CQ6" s="92">
        <v>9584.56</v>
      </c>
      <c r="CR6" s="92">
        <v>185511</v>
      </c>
      <c r="CS6" s="92">
        <v>25465.38</v>
      </c>
      <c r="CT6" s="92">
        <v>96557</v>
      </c>
      <c r="CU6" s="92">
        <v>3607.96</v>
      </c>
      <c r="CV6" s="92">
        <v>209804</v>
      </c>
      <c r="CW6" s="92">
        <v>9135.2999999999993</v>
      </c>
      <c r="CX6" s="92">
        <v>1522485</v>
      </c>
      <c r="CY6" s="92">
        <v>216673</v>
      </c>
      <c r="CZ6" s="92">
        <v>4437950</v>
      </c>
      <c r="DA6" s="92">
        <v>606804</v>
      </c>
      <c r="DB6" s="92">
        <v>424052</v>
      </c>
      <c r="DC6" s="92">
        <v>57565</v>
      </c>
      <c r="DD6" s="92">
        <v>1057768</v>
      </c>
      <c r="DE6" s="92">
        <v>151892</v>
      </c>
      <c r="DF6" s="92">
        <v>993602</v>
      </c>
      <c r="DG6" s="92">
        <v>246204.42</v>
      </c>
      <c r="DH6" s="92">
        <v>9137886</v>
      </c>
      <c r="DI6" s="92">
        <v>688851.26</v>
      </c>
      <c r="DJ6" s="92">
        <v>1201145</v>
      </c>
      <c r="DK6" s="92">
        <v>123850.25</v>
      </c>
      <c r="DL6" s="92">
        <v>3499523</v>
      </c>
      <c r="DM6" s="92">
        <v>349307.99</v>
      </c>
      <c r="DN6" s="92">
        <v>2815942</v>
      </c>
      <c r="DO6" s="92">
        <v>188973.45</v>
      </c>
      <c r="DP6" s="92">
        <v>7869564</v>
      </c>
      <c r="DQ6" s="92">
        <v>521665</v>
      </c>
      <c r="DR6" s="92">
        <v>15687</v>
      </c>
      <c r="DS6" s="92">
        <v>1854</v>
      </c>
      <c r="DT6" s="92">
        <v>40925</v>
      </c>
      <c r="DU6" s="92">
        <v>4486.6899999999996</v>
      </c>
    </row>
    <row r="7" spans="1:125" x14ac:dyDescent="0.25">
      <c r="A7" s="76" t="s">
        <v>113</v>
      </c>
      <c r="B7" s="92"/>
      <c r="C7" s="92"/>
      <c r="D7" s="92"/>
      <c r="E7" s="92"/>
      <c r="F7" s="92">
        <v>51613</v>
      </c>
      <c r="G7" s="92">
        <v>9256</v>
      </c>
      <c r="H7" s="92">
        <v>203509</v>
      </c>
      <c r="I7" s="92">
        <v>32755</v>
      </c>
      <c r="J7" s="92"/>
      <c r="K7" s="92"/>
      <c r="L7" s="92"/>
      <c r="M7" s="92"/>
      <c r="N7" s="92">
        <v>1520567</v>
      </c>
      <c r="O7" s="92">
        <v>30944</v>
      </c>
      <c r="P7" s="92">
        <v>4081558</v>
      </c>
      <c r="Q7" s="92">
        <v>85170</v>
      </c>
      <c r="R7" s="92">
        <v>51025</v>
      </c>
      <c r="S7" s="92">
        <v>16884</v>
      </c>
      <c r="T7" s="92">
        <v>135603</v>
      </c>
      <c r="U7" s="92">
        <v>45176</v>
      </c>
      <c r="V7" s="92">
        <v>675441</v>
      </c>
      <c r="W7" s="92">
        <v>27822</v>
      </c>
      <c r="X7" s="92">
        <v>1393937</v>
      </c>
      <c r="Y7" s="92">
        <v>71915</v>
      </c>
      <c r="Z7" s="92"/>
      <c r="AA7" s="92"/>
      <c r="AB7" s="92"/>
      <c r="AC7" s="92"/>
      <c r="AD7" s="92">
        <v>107</v>
      </c>
      <c r="AE7" s="92">
        <v>1.89</v>
      </c>
      <c r="AF7" s="92">
        <v>108</v>
      </c>
      <c r="AG7" s="92">
        <v>1.95</v>
      </c>
      <c r="AH7" s="92">
        <v>272949</v>
      </c>
      <c r="AI7" s="92">
        <v>6656.6</v>
      </c>
      <c r="AJ7" s="92">
        <v>744769</v>
      </c>
      <c r="AK7" s="92">
        <v>16972.810000000001</v>
      </c>
      <c r="AL7" s="92">
        <v>3999</v>
      </c>
      <c r="AM7" s="92">
        <v>547</v>
      </c>
      <c r="AN7" s="92">
        <v>8895</v>
      </c>
      <c r="AO7" s="92">
        <v>1140</v>
      </c>
      <c r="AP7" s="92">
        <v>273524</v>
      </c>
      <c r="AQ7" s="92">
        <v>37524</v>
      </c>
      <c r="AR7" s="92">
        <v>1149836</v>
      </c>
      <c r="AS7" s="92">
        <v>108978</v>
      </c>
      <c r="AT7" s="92">
        <v>302048</v>
      </c>
      <c r="AU7" s="92">
        <v>34528</v>
      </c>
      <c r="AV7" s="92">
        <v>1368090</v>
      </c>
      <c r="AW7" s="92">
        <v>97844</v>
      </c>
      <c r="AX7" s="92">
        <v>73254</v>
      </c>
      <c r="AY7" s="92">
        <v>2131.2199999999998</v>
      </c>
      <c r="AZ7" s="92">
        <v>225608</v>
      </c>
      <c r="BA7" s="92">
        <v>6277.11</v>
      </c>
      <c r="BB7" s="92">
        <v>22120</v>
      </c>
      <c r="BC7" s="92">
        <v>3077.57</v>
      </c>
      <c r="BD7" s="92">
        <v>72209</v>
      </c>
      <c r="BE7" s="92">
        <v>9186.09</v>
      </c>
      <c r="BF7" s="92">
        <v>1949</v>
      </c>
      <c r="BG7" s="92">
        <v>48.180222399999998</v>
      </c>
      <c r="BH7" s="92">
        <v>5005</v>
      </c>
      <c r="BI7" s="92">
        <v>100.81483799999999</v>
      </c>
      <c r="BJ7" s="92">
        <v>1624</v>
      </c>
      <c r="BK7" s="92">
        <v>23</v>
      </c>
      <c r="BL7" s="92">
        <v>6500</v>
      </c>
      <c r="BM7" s="92">
        <v>109</v>
      </c>
      <c r="BN7" s="147">
        <v>7932</v>
      </c>
      <c r="BO7" s="147">
        <v>4104</v>
      </c>
      <c r="BP7" s="147">
        <v>22645</v>
      </c>
      <c r="BQ7" s="147">
        <v>11090</v>
      </c>
      <c r="BR7" s="123">
        <v>54037</v>
      </c>
      <c r="BS7" s="123">
        <v>12217</v>
      </c>
      <c r="BT7" s="81">
        <v>168937</v>
      </c>
      <c r="BU7" s="81">
        <v>34824</v>
      </c>
      <c r="BV7" s="92">
        <v>7977</v>
      </c>
      <c r="BW7" s="92">
        <v>443.09</v>
      </c>
      <c r="BX7" s="92">
        <v>23025</v>
      </c>
      <c r="BY7" s="92">
        <v>1414.07</v>
      </c>
      <c r="BZ7" s="92"/>
      <c r="CA7" s="92"/>
      <c r="CB7" s="92"/>
      <c r="CC7" s="92"/>
      <c r="CD7" s="92"/>
      <c r="CE7" s="92"/>
      <c r="CF7" s="92"/>
      <c r="CG7" s="92"/>
      <c r="CH7" s="92">
        <v>199239</v>
      </c>
      <c r="CI7" s="92">
        <v>9417</v>
      </c>
      <c r="CJ7" s="92">
        <v>524757</v>
      </c>
      <c r="CK7" s="92">
        <v>25553</v>
      </c>
      <c r="CL7" s="92">
        <v>11416</v>
      </c>
      <c r="CM7" s="92">
        <v>1461</v>
      </c>
      <c r="CN7" s="92">
        <v>35319</v>
      </c>
      <c r="CO7" s="92">
        <v>5087</v>
      </c>
      <c r="CP7" s="92">
        <v>697609</v>
      </c>
      <c r="CQ7" s="92">
        <v>70232.3</v>
      </c>
      <c r="CR7" s="92">
        <v>1507322</v>
      </c>
      <c r="CS7" s="92">
        <v>153023.4</v>
      </c>
      <c r="CT7" s="92">
        <v>4354</v>
      </c>
      <c r="CU7" s="92">
        <v>111.14</v>
      </c>
      <c r="CV7" s="92">
        <v>13962</v>
      </c>
      <c r="CW7" s="92">
        <v>410.4</v>
      </c>
      <c r="CX7" s="92">
        <v>36772</v>
      </c>
      <c r="CY7" s="92">
        <v>8398</v>
      </c>
      <c r="CZ7" s="92">
        <v>113828</v>
      </c>
      <c r="DA7" s="92">
        <v>22552</v>
      </c>
      <c r="DB7" s="92">
        <v>272949</v>
      </c>
      <c r="DC7" s="92">
        <v>30328</v>
      </c>
      <c r="DD7" s="92">
        <v>738056</v>
      </c>
      <c r="DE7" s="92">
        <v>83802</v>
      </c>
      <c r="DF7" s="92">
        <v>64230</v>
      </c>
      <c r="DG7" s="92">
        <v>7368.04</v>
      </c>
      <c r="DH7" s="92">
        <v>229519</v>
      </c>
      <c r="DI7" s="92">
        <v>19619.66</v>
      </c>
      <c r="DJ7" s="92">
        <v>113846</v>
      </c>
      <c r="DK7" s="92">
        <v>6280.01</v>
      </c>
      <c r="DL7" s="92">
        <v>223822</v>
      </c>
      <c r="DM7" s="92">
        <v>17357.009999999998</v>
      </c>
      <c r="DN7" s="92">
        <v>76373</v>
      </c>
      <c r="DO7" s="92">
        <v>4563.1499999999996</v>
      </c>
      <c r="DP7" s="92">
        <v>233296</v>
      </c>
      <c r="DQ7" s="92">
        <v>25892</v>
      </c>
      <c r="DR7" s="92">
        <v>138272</v>
      </c>
      <c r="DS7" s="92">
        <v>7125.48</v>
      </c>
      <c r="DT7" s="92">
        <v>395629</v>
      </c>
      <c r="DU7" s="92">
        <v>21058.6</v>
      </c>
    </row>
    <row r="8" spans="1:125" x14ac:dyDescent="0.25">
      <c r="A8" s="76" t="s">
        <v>114</v>
      </c>
      <c r="B8" s="92">
        <v>67442</v>
      </c>
      <c r="C8" s="92">
        <v>2402</v>
      </c>
      <c r="D8" s="92">
        <v>168868</v>
      </c>
      <c r="E8" s="92">
        <v>6607</v>
      </c>
      <c r="F8" s="92">
        <v>732</v>
      </c>
      <c r="G8" s="92">
        <v>7405</v>
      </c>
      <c r="H8" s="92">
        <v>3649</v>
      </c>
      <c r="I8" s="92">
        <v>15373</v>
      </c>
      <c r="J8" s="92"/>
      <c r="K8" s="92"/>
      <c r="L8" s="92"/>
      <c r="M8" s="92"/>
      <c r="N8" s="92">
        <v>575415</v>
      </c>
      <c r="O8" s="92">
        <v>11453</v>
      </c>
      <c r="P8" s="92">
        <v>2123634</v>
      </c>
      <c r="Q8" s="92">
        <v>30210</v>
      </c>
      <c r="R8" s="92">
        <v>5023</v>
      </c>
      <c r="S8" s="92">
        <v>7088</v>
      </c>
      <c r="T8" s="92">
        <v>15269</v>
      </c>
      <c r="U8" s="92">
        <v>13677</v>
      </c>
      <c r="V8" s="92">
        <v>1229792</v>
      </c>
      <c r="W8" s="92">
        <v>50663</v>
      </c>
      <c r="X8" s="92">
        <v>3116227</v>
      </c>
      <c r="Y8" s="92">
        <v>132111</v>
      </c>
      <c r="Z8" s="92"/>
      <c r="AA8" s="92"/>
      <c r="AB8" s="92"/>
      <c r="AC8" s="92"/>
      <c r="AD8" s="92">
        <v>704</v>
      </c>
      <c r="AE8" s="92">
        <v>93.52</v>
      </c>
      <c r="AF8" s="92">
        <v>3105</v>
      </c>
      <c r="AG8" s="92">
        <v>256.19</v>
      </c>
      <c r="AH8" s="92">
        <v>14573</v>
      </c>
      <c r="AI8" s="92">
        <v>401.41</v>
      </c>
      <c r="AJ8" s="92">
        <v>40610</v>
      </c>
      <c r="AK8" s="92">
        <v>1776.34</v>
      </c>
      <c r="AL8" s="92">
        <v>14127</v>
      </c>
      <c r="AM8" s="92">
        <v>1681</v>
      </c>
      <c r="AN8" s="92">
        <v>33396</v>
      </c>
      <c r="AO8" s="92">
        <v>3708</v>
      </c>
      <c r="AP8" s="92">
        <v>101638</v>
      </c>
      <c r="AQ8" s="92">
        <v>18459</v>
      </c>
      <c r="AR8" s="92">
        <v>265080</v>
      </c>
      <c r="AS8" s="92">
        <v>47232</v>
      </c>
      <c r="AT8" s="92">
        <v>373048</v>
      </c>
      <c r="AU8" s="92">
        <v>19134</v>
      </c>
      <c r="AV8" s="92">
        <v>752057</v>
      </c>
      <c r="AW8" s="92">
        <v>45223</v>
      </c>
      <c r="AX8" s="92">
        <v>11737</v>
      </c>
      <c r="AY8" s="92">
        <v>568.27</v>
      </c>
      <c r="AZ8" s="92">
        <v>29641</v>
      </c>
      <c r="BA8" s="92">
        <v>1646.98</v>
      </c>
      <c r="BB8" s="92">
        <v>94297</v>
      </c>
      <c r="BC8" s="92">
        <v>664.49</v>
      </c>
      <c r="BD8" s="92">
        <v>101488</v>
      </c>
      <c r="BE8" s="92">
        <v>1347.97</v>
      </c>
      <c r="BF8" s="92">
        <v>4784</v>
      </c>
      <c r="BG8" s="92">
        <v>689.56207019999999</v>
      </c>
      <c r="BH8" s="92">
        <v>17551</v>
      </c>
      <c r="BI8" s="92">
        <v>1816.921681</v>
      </c>
      <c r="BJ8" s="92">
        <v>18181</v>
      </c>
      <c r="BK8" s="92">
        <v>2175</v>
      </c>
      <c r="BL8" s="92">
        <v>52147</v>
      </c>
      <c r="BM8" s="92">
        <v>5999</v>
      </c>
      <c r="BN8" s="147">
        <v>2797</v>
      </c>
      <c r="BO8" s="147">
        <v>1968</v>
      </c>
      <c r="BP8" s="147">
        <v>9162</v>
      </c>
      <c r="BQ8" s="147">
        <v>4941</v>
      </c>
      <c r="BR8" s="123">
        <v>767</v>
      </c>
      <c r="BS8" s="123">
        <v>5722</v>
      </c>
      <c r="BT8" s="81">
        <v>1851</v>
      </c>
      <c r="BU8" s="81">
        <v>18716</v>
      </c>
      <c r="BV8" s="92">
        <v>1191660</v>
      </c>
      <c r="BW8" s="92">
        <v>11735.4</v>
      </c>
      <c r="BX8" s="92">
        <v>2905204</v>
      </c>
      <c r="BY8" s="92">
        <v>28770.48</v>
      </c>
      <c r="BZ8" s="92">
        <v>14347</v>
      </c>
      <c r="CA8" s="92">
        <v>801</v>
      </c>
      <c r="CB8" s="92">
        <v>42669</v>
      </c>
      <c r="CC8" s="92">
        <v>2239</v>
      </c>
      <c r="CD8" s="92"/>
      <c r="CE8" s="92"/>
      <c r="CF8" s="92"/>
      <c r="CG8" s="92"/>
      <c r="CH8" s="92">
        <v>51438</v>
      </c>
      <c r="CI8" s="92">
        <v>10613</v>
      </c>
      <c r="CJ8" s="92">
        <v>178817</v>
      </c>
      <c r="CK8" s="92">
        <v>29007</v>
      </c>
      <c r="CL8" s="92">
        <v>26404</v>
      </c>
      <c r="CM8" s="92">
        <v>6153</v>
      </c>
      <c r="CN8" s="92">
        <v>86574</v>
      </c>
      <c r="CO8" s="92">
        <v>19680</v>
      </c>
      <c r="CP8" s="92">
        <v>17433</v>
      </c>
      <c r="CQ8" s="92">
        <v>979.56</v>
      </c>
      <c r="CR8" s="92">
        <v>53605</v>
      </c>
      <c r="CS8" s="92">
        <v>3431.1</v>
      </c>
      <c r="CT8" s="92">
        <v>287299</v>
      </c>
      <c r="CU8" s="92">
        <v>14846.37</v>
      </c>
      <c r="CV8" s="92">
        <v>954794</v>
      </c>
      <c r="CW8" s="92">
        <v>50973.95</v>
      </c>
      <c r="CX8" s="92">
        <v>4125</v>
      </c>
      <c r="CY8" s="92">
        <v>1796</v>
      </c>
      <c r="CZ8" s="92">
        <v>14481</v>
      </c>
      <c r="DA8" s="92">
        <v>4976</v>
      </c>
      <c r="DB8" s="92">
        <v>83793</v>
      </c>
      <c r="DC8" s="92">
        <v>5234</v>
      </c>
      <c r="DD8" s="92">
        <v>126539</v>
      </c>
      <c r="DE8" s="92">
        <v>13493</v>
      </c>
      <c r="DF8" s="31">
        <v>-1572</v>
      </c>
      <c r="DG8" s="92">
        <v>3064.79</v>
      </c>
      <c r="DH8" s="92">
        <v>34547</v>
      </c>
      <c r="DI8" s="92">
        <v>8073.6</v>
      </c>
      <c r="DJ8" s="92">
        <v>31045</v>
      </c>
      <c r="DK8" s="92">
        <v>3276.73</v>
      </c>
      <c r="DL8" s="92">
        <v>109355</v>
      </c>
      <c r="DM8" s="92">
        <v>5997.22</v>
      </c>
      <c r="DN8" s="92">
        <v>15858</v>
      </c>
      <c r="DO8" s="92">
        <v>3666.02</v>
      </c>
      <c r="DP8" s="92">
        <v>38302</v>
      </c>
      <c r="DQ8" s="92">
        <v>8639</v>
      </c>
      <c r="DR8" s="92">
        <v>52</v>
      </c>
      <c r="DS8" s="92">
        <v>3.42</v>
      </c>
      <c r="DT8" s="92">
        <v>184</v>
      </c>
      <c r="DU8" s="92">
        <v>9.6999999999999993</v>
      </c>
    </row>
    <row r="9" spans="1:125" x14ac:dyDescent="0.25">
      <c r="A9" s="76" t="s">
        <v>115</v>
      </c>
      <c r="B9" s="92">
        <v>51619</v>
      </c>
      <c r="C9" s="92">
        <v>4958</v>
      </c>
      <c r="D9" s="92">
        <v>217761</v>
      </c>
      <c r="E9" s="92">
        <v>16259</v>
      </c>
      <c r="F9" s="92">
        <v>24413</v>
      </c>
      <c r="G9" s="92">
        <v>16589</v>
      </c>
      <c r="H9" s="92">
        <v>56753</v>
      </c>
      <c r="I9" s="92">
        <v>43451</v>
      </c>
      <c r="J9" s="92">
        <v>3475069</v>
      </c>
      <c r="K9" s="92">
        <v>32989</v>
      </c>
      <c r="L9" s="92">
        <v>4313114</v>
      </c>
      <c r="M9" s="92">
        <v>47943</v>
      </c>
      <c r="N9" s="92">
        <v>1889810</v>
      </c>
      <c r="O9" s="92">
        <v>142866</v>
      </c>
      <c r="P9" s="92">
        <v>4255614</v>
      </c>
      <c r="Q9" s="92">
        <v>365494</v>
      </c>
      <c r="R9" s="92">
        <v>70187</v>
      </c>
      <c r="S9" s="92">
        <v>23778</v>
      </c>
      <c r="T9" s="92">
        <v>173541</v>
      </c>
      <c r="U9" s="92">
        <v>63839</v>
      </c>
      <c r="V9" s="92">
        <v>1017800</v>
      </c>
      <c r="W9" s="92">
        <v>44529</v>
      </c>
      <c r="X9" s="92">
        <v>2062620</v>
      </c>
      <c r="Y9" s="92">
        <v>111807</v>
      </c>
      <c r="Z9" s="92">
        <v>123</v>
      </c>
      <c r="AA9" s="92">
        <v>3958.42</v>
      </c>
      <c r="AB9" s="92">
        <v>264</v>
      </c>
      <c r="AC9" s="92">
        <v>9651.9599999999991</v>
      </c>
      <c r="AD9" s="92">
        <v>72944</v>
      </c>
      <c r="AE9" s="92">
        <v>7750.85</v>
      </c>
      <c r="AF9" s="92">
        <v>128405</v>
      </c>
      <c r="AG9" s="92">
        <v>17880.84</v>
      </c>
      <c r="AH9" s="92">
        <v>240899</v>
      </c>
      <c r="AI9" s="92">
        <v>34307.300000000003</v>
      </c>
      <c r="AJ9" s="92">
        <v>614882</v>
      </c>
      <c r="AK9" s="92">
        <v>102223.76</v>
      </c>
      <c r="AL9" s="92">
        <v>1145339</v>
      </c>
      <c r="AM9" s="92">
        <v>82163</v>
      </c>
      <c r="AN9" s="92">
        <v>2459060</v>
      </c>
      <c r="AO9" s="92">
        <v>185287</v>
      </c>
      <c r="AP9" s="92">
        <v>904826</v>
      </c>
      <c r="AQ9" s="92">
        <v>108647</v>
      </c>
      <c r="AR9" s="92">
        <v>2309117</v>
      </c>
      <c r="AS9" s="92">
        <v>292373</v>
      </c>
      <c r="AT9" s="92">
        <v>5273071</v>
      </c>
      <c r="AU9" s="92">
        <v>238750</v>
      </c>
      <c r="AV9" s="92">
        <v>11003096</v>
      </c>
      <c r="AW9" s="92">
        <v>631452</v>
      </c>
      <c r="AX9" s="92">
        <v>869352</v>
      </c>
      <c r="AY9" s="92">
        <v>95719.3</v>
      </c>
      <c r="AZ9" s="92">
        <v>2151406</v>
      </c>
      <c r="BA9" s="92">
        <v>296649.82</v>
      </c>
      <c r="BB9" s="92">
        <v>488656</v>
      </c>
      <c r="BC9" s="92">
        <v>10040.17</v>
      </c>
      <c r="BD9" s="92">
        <v>884866</v>
      </c>
      <c r="BE9" s="92">
        <v>17846.18</v>
      </c>
      <c r="BF9" s="92">
        <v>547269</v>
      </c>
      <c r="BG9" s="92">
        <v>27701.540410000001</v>
      </c>
      <c r="BH9" s="92">
        <v>1232828</v>
      </c>
      <c r="BI9" s="92">
        <v>78323.684670000002</v>
      </c>
      <c r="BJ9" s="92">
        <v>280659</v>
      </c>
      <c r="BK9" s="92">
        <v>29249</v>
      </c>
      <c r="BL9" s="92">
        <v>596692</v>
      </c>
      <c r="BM9" s="92">
        <v>69423</v>
      </c>
      <c r="BN9" s="147">
        <v>25109</v>
      </c>
      <c r="BO9" s="147">
        <v>7194</v>
      </c>
      <c r="BP9" s="147">
        <v>78999</v>
      </c>
      <c r="BQ9" s="147">
        <v>20679</v>
      </c>
      <c r="BR9" s="123">
        <v>56845</v>
      </c>
      <c r="BS9" s="123">
        <v>10118</v>
      </c>
      <c r="BT9" s="81">
        <v>143104</v>
      </c>
      <c r="BU9" s="81">
        <v>23704</v>
      </c>
      <c r="BV9" s="92">
        <v>284509</v>
      </c>
      <c r="BW9" s="92">
        <v>67798.84</v>
      </c>
      <c r="BX9" s="92">
        <v>1229022</v>
      </c>
      <c r="BY9" s="92">
        <v>248280.38</v>
      </c>
      <c r="BZ9" s="92">
        <v>38525</v>
      </c>
      <c r="CA9" s="92">
        <v>1277</v>
      </c>
      <c r="CB9" s="92">
        <v>80758</v>
      </c>
      <c r="CC9" s="92">
        <v>2485</v>
      </c>
      <c r="CD9" s="92">
        <v>34381</v>
      </c>
      <c r="CE9" s="92">
        <v>7433.21</v>
      </c>
      <c r="CF9" s="92">
        <v>103184</v>
      </c>
      <c r="CG9" s="92">
        <v>21800.17</v>
      </c>
      <c r="CH9" s="92">
        <v>1063082</v>
      </c>
      <c r="CI9" s="92">
        <v>82457</v>
      </c>
      <c r="CJ9" s="92">
        <v>2256990</v>
      </c>
      <c r="CK9" s="92">
        <v>235100</v>
      </c>
      <c r="CL9" s="92">
        <v>333476</v>
      </c>
      <c r="CM9" s="92">
        <v>36488</v>
      </c>
      <c r="CN9" s="92">
        <v>758151</v>
      </c>
      <c r="CO9" s="92">
        <v>106365</v>
      </c>
      <c r="CP9" s="92">
        <v>922841</v>
      </c>
      <c r="CQ9" s="92">
        <v>79621.55</v>
      </c>
      <c r="CR9" s="92">
        <v>1604823</v>
      </c>
      <c r="CS9" s="92">
        <v>203392.56</v>
      </c>
      <c r="CT9" s="92">
        <v>133895</v>
      </c>
      <c r="CU9" s="92">
        <v>10581.1</v>
      </c>
      <c r="CV9" s="92">
        <v>252053</v>
      </c>
      <c r="CW9" s="92">
        <v>18878.8</v>
      </c>
      <c r="CX9" s="92">
        <v>65501</v>
      </c>
      <c r="CY9" s="92">
        <v>19630</v>
      </c>
      <c r="CZ9" s="92">
        <v>167786</v>
      </c>
      <c r="DA9" s="92">
        <v>66869</v>
      </c>
      <c r="DB9" s="92">
        <v>959489</v>
      </c>
      <c r="DC9" s="92">
        <v>107719</v>
      </c>
      <c r="DD9" s="92">
        <v>2375790</v>
      </c>
      <c r="DE9" s="92">
        <v>299993</v>
      </c>
      <c r="DF9" s="92">
        <v>245251</v>
      </c>
      <c r="DG9" s="92">
        <v>304486.96000000002</v>
      </c>
      <c r="DH9" s="92">
        <v>2719050</v>
      </c>
      <c r="DI9" s="92">
        <v>936622.42</v>
      </c>
      <c r="DJ9" s="92">
        <v>248387</v>
      </c>
      <c r="DK9" s="92">
        <v>111656.46</v>
      </c>
      <c r="DL9" s="92">
        <v>710565</v>
      </c>
      <c r="DM9" s="92">
        <v>292753.88</v>
      </c>
      <c r="DN9" s="92">
        <v>130314</v>
      </c>
      <c r="DO9" s="92">
        <v>66107.31</v>
      </c>
      <c r="DP9" s="92">
        <v>306538</v>
      </c>
      <c r="DQ9" s="92">
        <v>221147</v>
      </c>
      <c r="DR9" s="92">
        <v>404513</v>
      </c>
      <c r="DS9" s="92">
        <v>32053.54</v>
      </c>
      <c r="DT9" s="92">
        <v>890752</v>
      </c>
      <c r="DU9" s="92">
        <v>96487.61</v>
      </c>
    </row>
    <row r="10" spans="1:125" x14ac:dyDescent="0.25">
      <c r="A10" s="76" t="s">
        <v>116</v>
      </c>
      <c r="B10" s="92"/>
      <c r="C10" s="92"/>
      <c r="D10" s="92"/>
      <c r="E10" s="92"/>
      <c r="F10" s="92"/>
      <c r="G10" s="92"/>
      <c r="H10" s="92"/>
      <c r="I10" s="92"/>
      <c r="J10" s="92">
        <v>2117</v>
      </c>
      <c r="K10" s="92">
        <v>115</v>
      </c>
      <c r="L10" s="92">
        <v>12241</v>
      </c>
      <c r="M10" s="92">
        <v>217</v>
      </c>
      <c r="N10" s="92"/>
      <c r="O10" s="92"/>
      <c r="P10" s="92"/>
      <c r="Q10" s="92"/>
      <c r="R10" s="92">
        <v>-9</v>
      </c>
      <c r="S10" s="92">
        <v>1874</v>
      </c>
      <c r="T10" s="92">
        <v>2</v>
      </c>
      <c r="U10" s="92">
        <v>4592</v>
      </c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>
        <v>30586</v>
      </c>
      <c r="BC10" s="92">
        <v>71.73</v>
      </c>
      <c r="BD10" s="92">
        <v>36798</v>
      </c>
      <c r="BE10" s="92">
        <v>90.99</v>
      </c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24"/>
      <c r="BS10" s="24"/>
      <c r="BT10" s="24"/>
      <c r="BU10" s="24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>
        <v>16</v>
      </c>
      <c r="CM10" s="92">
        <v>1</v>
      </c>
      <c r="CN10" s="92">
        <v>36</v>
      </c>
      <c r="CO10" s="92">
        <v>1</v>
      </c>
      <c r="CP10" s="92">
        <v>42</v>
      </c>
      <c r="CQ10" s="92">
        <v>0.8</v>
      </c>
      <c r="CR10" s="92">
        <v>52</v>
      </c>
      <c r="CS10" s="92">
        <v>0.93</v>
      </c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>
        <v>9</v>
      </c>
      <c r="DG10" s="92">
        <v>0.16</v>
      </c>
      <c r="DH10" s="92">
        <v>46</v>
      </c>
      <c r="DI10" s="92">
        <v>4.05</v>
      </c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</row>
    <row r="11" spans="1:125" x14ac:dyDescent="0.25">
      <c r="A11" s="76" t="s">
        <v>117</v>
      </c>
      <c r="B11" s="92">
        <v>541623</v>
      </c>
      <c r="C11" s="92">
        <v>21007</v>
      </c>
      <c r="D11" s="92">
        <v>1522294</v>
      </c>
      <c r="E11" s="92">
        <v>46976</v>
      </c>
      <c r="F11" s="92">
        <f>2378+2250</f>
        <v>4628</v>
      </c>
      <c r="G11" s="92">
        <f>485+808</f>
        <v>1293</v>
      </c>
      <c r="H11" s="92">
        <f>8923+8110</f>
        <v>17033</v>
      </c>
      <c r="I11" s="92">
        <f>3669+1552</f>
        <v>5221</v>
      </c>
      <c r="J11" s="92">
        <v>108911</v>
      </c>
      <c r="K11" s="92">
        <v>743</v>
      </c>
      <c r="L11" s="92">
        <v>108674</v>
      </c>
      <c r="M11" s="92">
        <v>900</v>
      </c>
      <c r="N11" s="92">
        <f>888+69584+790037</f>
        <v>860509</v>
      </c>
      <c r="O11" s="92">
        <f>77+2354+41329</f>
        <v>43760</v>
      </c>
      <c r="P11" s="92">
        <f>1445+195556+2097038</f>
        <v>2294039</v>
      </c>
      <c r="Q11" s="92">
        <f>132+6895+306705</f>
        <v>313732</v>
      </c>
      <c r="R11" s="92">
        <v>49105</v>
      </c>
      <c r="S11" s="92">
        <v>11966</v>
      </c>
      <c r="T11" s="92">
        <v>131789</v>
      </c>
      <c r="U11" s="92">
        <v>34855</v>
      </c>
      <c r="V11" s="92">
        <v>45981</v>
      </c>
      <c r="W11" s="92">
        <v>5357</v>
      </c>
      <c r="X11" s="92">
        <v>146747</v>
      </c>
      <c r="Y11" s="92">
        <v>18353</v>
      </c>
      <c r="Z11" s="92">
        <v>715</v>
      </c>
      <c r="AA11" s="92">
        <v>8467.56</v>
      </c>
      <c r="AB11" s="92">
        <v>1986</v>
      </c>
      <c r="AC11" s="92">
        <v>23927.27</v>
      </c>
      <c r="AD11" s="92">
        <v>10418</v>
      </c>
      <c r="AE11" s="92">
        <v>2736.84</v>
      </c>
      <c r="AF11" s="92">
        <v>27244</v>
      </c>
      <c r="AG11" s="92">
        <v>6150.16</v>
      </c>
      <c r="AH11" s="92">
        <v>117953</v>
      </c>
      <c r="AI11" s="92">
        <v>47747.5</v>
      </c>
      <c r="AJ11" s="92">
        <v>355409</v>
      </c>
      <c r="AK11" s="92">
        <v>114291.56</v>
      </c>
      <c r="AL11" s="92">
        <v>467949</v>
      </c>
      <c r="AM11" s="92">
        <v>25807</v>
      </c>
      <c r="AN11" s="92">
        <v>1242668</v>
      </c>
      <c r="AO11" s="92">
        <v>68502</v>
      </c>
      <c r="AP11" s="92">
        <f>166483+53618</f>
        <v>220101</v>
      </c>
      <c r="AQ11" s="92">
        <f>9695+42984</f>
        <v>52679</v>
      </c>
      <c r="AR11" s="92">
        <f>516551+165086</f>
        <v>681637</v>
      </c>
      <c r="AS11" s="92">
        <f>28203+246238</f>
        <v>274441</v>
      </c>
      <c r="AT11" s="92">
        <f>231591+234824</f>
        <v>466415</v>
      </c>
      <c r="AU11" s="92">
        <f>10491+68311</f>
        <v>78802</v>
      </c>
      <c r="AV11" s="92">
        <f>623184+744143</f>
        <v>1367327</v>
      </c>
      <c r="AW11" s="92">
        <f>26824+282948</f>
        <v>309772</v>
      </c>
      <c r="AX11" s="92">
        <v>123116</v>
      </c>
      <c r="AY11" s="92">
        <v>29793.38</v>
      </c>
      <c r="AZ11" s="92">
        <v>301513</v>
      </c>
      <c r="BA11" s="92">
        <v>161955.44</v>
      </c>
      <c r="BB11" s="92">
        <v>455184</v>
      </c>
      <c r="BC11" s="92">
        <v>6827.31</v>
      </c>
      <c r="BD11" s="92">
        <v>1033635</v>
      </c>
      <c r="BE11" s="92">
        <v>17106.669999999998</v>
      </c>
      <c r="BF11" s="92">
        <v>32854</v>
      </c>
      <c r="BG11" s="92">
        <v>2125.8240129999999</v>
      </c>
      <c r="BH11" s="92">
        <v>68082</v>
      </c>
      <c r="BI11" s="92">
        <v>6687.3113629999998</v>
      </c>
      <c r="BJ11" s="92">
        <v>33535</v>
      </c>
      <c r="BK11" s="92">
        <v>2364</v>
      </c>
      <c r="BL11" s="92">
        <v>82403</v>
      </c>
      <c r="BM11" s="92">
        <v>6953</v>
      </c>
      <c r="BN11" s="147">
        <v>4765</v>
      </c>
      <c r="BO11" s="147">
        <v>5761</v>
      </c>
      <c r="BP11" s="147">
        <v>16513</v>
      </c>
      <c r="BQ11" s="147">
        <v>13851</v>
      </c>
      <c r="BR11" s="123">
        <v>47152</v>
      </c>
      <c r="BS11" s="81">
        <v>13668</v>
      </c>
      <c r="BT11" s="81">
        <v>159869</v>
      </c>
      <c r="BU11" s="81">
        <v>37828</v>
      </c>
      <c r="BV11" s="92">
        <v>69500</v>
      </c>
      <c r="BW11" s="92">
        <v>83421.899999999994</v>
      </c>
      <c r="BX11" s="92">
        <v>207220</v>
      </c>
      <c r="BY11" s="92">
        <v>292092.56</v>
      </c>
      <c r="BZ11" s="92">
        <f>18552+49117</f>
        <v>67669</v>
      </c>
      <c r="CA11" s="92">
        <f>480+346</f>
        <v>826</v>
      </c>
      <c r="CB11" s="92">
        <f>27850+73175</f>
        <v>101025</v>
      </c>
      <c r="CC11" s="92">
        <f>629+672</f>
        <v>1301</v>
      </c>
      <c r="CD11" s="92">
        <v>3769</v>
      </c>
      <c r="CE11" s="92">
        <v>568.88</v>
      </c>
      <c r="CF11" s="92">
        <v>16653</v>
      </c>
      <c r="CG11" s="92">
        <v>2477.59</v>
      </c>
      <c r="CH11" s="92">
        <f>69669+97625</f>
        <v>167294</v>
      </c>
      <c r="CI11" s="92">
        <f>1646+73083</f>
        <v>74729</v>
      </c>
      <c r="CJ11" s="92">
        <f>198939+224673</f>
        <v>423612</v>
      </c>
      <c r="CK11" s="92">
        <f>4786+320746</f>
        <v>325532</v>
      </c>
      <c r="CL11" s="92">
        <v>123810</v>
      </c>
      <c r="CM11" s="92">
        <v>11253</v>
      </c>
      <c r="CN11" s="92">
        <v>312164</v>
      </c>
      <c r="CO11" s="92">
        <v>33945</v>
      </c>
      <c r="CP11" s="92"/>
      <c r="CQ11" s="92"/>
      <c r="CR11" s="92"/>
      <c r="CS11" s="92"/>
      <c r="CT11" s="92">
        <v>45521</v>
      </c>
      <c r="CU11" s="92">
        <v>1899.9</v>
      </c>
      <c r="CV11" s="92">
        <v>106959</v>
      </c>
      <c r="CW11" s="92">
        <v>5399.38</v>
      </c>
      <c r="CX11" s="92">
        <v>141119</v>
      </c>
      <c r="CY11" s="92">
        <v>23310</v>
      </c>
      <c r="CZ11" s="92">
        <v>428772</v>
      </c>
      <c r="DA11" s="92">
        <v>68625</v>
      </c>
      <c r="DB11" s="92">
        <v>664985</v>
      </c>
      <c r="DC11" s="92">
        <v>28980</v>
      </c>
      <c r="DD11" s="92">
        <v>1122621</v>
      </c>
      <c r="DE11" s="92">
        <v>78404</v>
      </c>
      <c r="DF11" s="92">
        <v>7148982</v>
      </c>
      <c r="DG11" s="92">
        <v>237444.27</v>
      </c>
      <c r="DH11" s="92">
        <v>9320983</v>
      </c>
      <c r="DI11" s="92">
        <v>819836.58</v>
      </c>
      <c r="DJ11" s="92">
        <v>240837</v>
      </c>
      <c r="DK11" s="92">
        <v>65436.09</v>
      </c>
      <c r="DL11" s="92">
        <v>342640</v>
      </c>
      <c r="DM11" s="92">
        <v>336096.72</v>
      </c>
      <c r="DN11" s="92">
        <f>1081+72777+129300</f>
        <v>203158</v>
      </c>
      <c r="DO11" s="92">
        <f>1085.37+361.89+77677.87</f>
        <v>79125.12999999999</v>
      </c>
      <c r="DP11" s="92">
        <f>4149+27209+346661</f>
        <v>378019</v>
      </c>
      <c r="DQ11" s="92">
        <f>7357.57+1123.79+291638.85</f>
        <v>300120.20999999996</v>
      </c>
      <c r="DR11" s="92"/>
      <c r="DS11" s="92"/>
      <c r="DT11" s="92"/>
      <c r="DU11" s="92"/>
    </row>
    <row r="12" spans="1:125" x14ac:dyDescent="0.25">
      <c r="A12" s="76" t="s">
        <v>31</v>
      </c>
      <c r="B12" s="92">
        <f>B13-B11-B10-B9-B8-B7-B6</f>
        <v>0</v>
      </c>
      <c r="C12" s="92">
        <f t="shared" ref="C12:BN12" si="0">C13-C11-C10-C9-C8-C7-C6</f>
        <v>0</v>
      </c>
      <c r="D12" s="92">
        <f t="shared" si="0"/>
        <v>0</v>
      </c>
      <c r="E12" s="92">
        <f t="shared" si="0"/>
        <v>0</v>
      </c>
      <c r="F12" s="92">
        <f t="shared" si="0"/>
        <v>349</v>
      </c>
      <c r="G12" s="92">
        <f t="shared" si="0"/>
        <v>55</v>
      </c>
      <c r="H12" s="92">
        <f t="shared" si="0"/>
        <v>26987</v>
      </c>
      <c r="I12" s="92">
        <f t="shared" si="0"/>
        <v>2384</v>
      </c>
      <c r="J12" s="92">
        <f t="shared" si="0"/>
        <v>6333113</v>
      </c>
      <c r="K12" s="92">
        <f t="shared" si="0"/>
        <v>157240</v>
      </c>
      <c r="L12" s="92">
        <f t="shared" si="0"/>
        <v>25371137</v>
      </c>
      <c r="M12" s="92">
        <f t="shared" si="0"/>
        <v>938152</v>
      </c>
      <c r="N12" s="92">
        <f t="shared" si="0"/>
        <v>733106</v>
      </c>
      <c r="O12" s="92">
        <f t="shared" si="0"/>
        <v>13437</v>
      </c>
      <c r="P12" s="92">
        <f t="shared" si="0"/>
        <v>1699429</v>
      </c>
      <c r="Q12" s="92">
        <f t="shared" si="0"/>
        <v>100600</v>
      </c>
      <c r="R12" s="92">
        <f t="shared" si="0"/>
        <v>25358</v>
      </c>
      <c r="S12" s="92">
        <f t="shared" si="0"/>
        <v>3269</v>
      </c>
      <c r="T12" s="92">
        <f t="shared" si="0"/>
        <v>91416</v>
      </c>
      <c r="U12" s="92">
        <f t="shared" si="0"/>
        <v>12167</v>
      </c>
      <c r="V12" s="92">
        <f t="shared" si="0"/>
        <v>125568</v>
      </c>
      <c r="W12" s="92">
        <f t="shared" si="0"/>
        <v>2286</v>
      </c>
      <c r="X12" s="92">
        <f t="shared" si="0"/>
        <v>242492</v>
      </c>
      <c r="Y12" s="92">
        <f t="shared" si="0"/>
        <v>6305</v>
      </c>
      <c r="Z12" s="92">
        <f t="shared" si="0"/>
        <v>0</v>
      </c>
      <c r="AA12" s="92">
        <f t="shared" si="0"/>
        <v>0</v>
      </c>
      <c r="AB12" s="92">
        <f t="shared" si="0"/>
        <v>0</v>
      </c>
      <c r="AC12" s="92">
        <f t="shared" si="0"/>
        <v>7.9999999998108251E-2</v>
      </c>
      <c r="AD12" s="92">
        <f t="shared" si="0"/>
        <v>8553</v>
      </c>
      <c r="AE12" s="92">
        <f t="shared" si="0"/>
        <v>522.45999999999924</v>
      </c>
      <c r="AF12" s="92">
        <f t="shared" si="0"/>
        <v>37065</v>
      </c>
      <c r="AG12" s="92">
        <f t="shared" si="0"/>
        <v>1909.1099999999997</v>
      </c>
      <c r="AH12" s="92">
        <f t="shared" si="0"/>
        <v>3539</v>
      </c>
      <c r="AI12" s="92">
        <f t="shared" si="0"/>
        <v>693.34999999999854</v>
      </c>
      <c r="AJ12" s="92">
        <f t="shared" si="0"/>
        <v>228445</v>
      </c>
      <c r="AK12" s="92">
        <f t="shared" si="0"/>
        <v>14916.700000000026</v>
      </c>
      <c r="AL12" s="92">
        <f t="shared" si="0"/>
        <v>565197</v>
      </c>
      <c r="AM12" s="92">
        <f t="shared" si="0"/>
        <v>23313</v>
      </c>
      <c r="AN12" s="92">
        <f t="shared" si="0"/>
        <v>1451653</v>
      </c>
      <c r="AO12" s="92">
        <f t="shared" si="0"/>
        <v>46009</v>
      </c>
      <c r="AP12" s="92">
        <f t="shared" si="0"/>
        <v>293343</v>
      </c>
      <c r="AQ12" s="92">
        <f t="shared" si="0"/>
        <v>16496</v>
      </c>
      <c r="AR12" s="92">
        <f t="shared" si="0"/>
        <v>798965</v>
      </c>
      <c r="AS12" s="92">
        <f t="shared" si="0"/>
        <v>42462</v>
      </c>
      <c r="AT12" s="92">
        <f t="shared" si="0"/>
        <v>2711890</v>
      </c>
      <c r="AU12" s="92">
        <f t="shared" si="0"/>
        <v>46466</v>
      </c>
      <c r="AV12" s="92">
        <f t="shared" si="0"/>
        <v>5544348</v>
      </c>
      <c r="AW12" s="92">
        <f t="shared" si="0"/>
        <v>103291</v>
      </c>
      <c r="AX12" s="92">
        <f t="shared" si="0"/>
        <v>1128029</v>
      </c>
      <c r="AY12" s="92">
        <f t="shared" si="0"/>
        <v>28512.019099999976</v>
      </c>
      <c r="AZ12" s="92">
        <f t="shared" si="0"/>
        <v>2564921</v>
      </c>
      <c r="BA12" s="92">
        <f t="shared" si="0"/>
        <v>63842.074000000051</v>
      </c>
      <c r="BB12" s="92">
        <f t="shared" si="0"/>
        <v>12574</v>
      </c>
      <c r="BC12" s="92">
        <f t="shared" si="0"/>
        <v>1182.6199999999999</v>
      </c>
      <c r="BD12" s="92">
        <f t="shared" si="0"/>
        <v>76471</v>
      </c>
      <c r="BE12" s="92">
        <f t="shared" si="0"/>
        <v>3409.2600000000029</v>
      </c>
      <c r="BF12" s="92">
        <f t="shared" si="0"/>
        <v>217036</v>
      </c>
      <c r="BG12" s="92">
        <f t="shared" si="0"/>
        <v>4946.910182399999</v>
      </c>
      <c r="BH12" s="92">
        <f t="shared" si="0"/>
        <v>503189</v>
      </c>
      <c r="BI12" s="92">
        <f t="shared" si="0"/>
        <v>12336.172077999992</v>
      </c>
      <c r="BJ12" s="92">
        <f t="shared" si="0"/>
        <v>137575</v>
      </c>
      <c r="BK12" s="92">
        <f t="shared" si="0"/>
        <v>11005</v>
      </c>
      <c r="BL12" s="92">
        <f t="shared" si="0"/>
        <v>380213</v>
      </c>
      <c r="BM12" s="92">
        <f t="shared" si="0"/>
        <v>28264</v>
      </c>
      <c r="BN12" s="92">
        <f t="shared" si="0"/>
        <v>656</v>
      </c>
      <c r="BO12" s="92">
        <f t="shared" ref="BO12:CW12" si="1">BO13-BO11-BO10-BO9-BO8-BO7-BO6</f>
        <v>129</v>
      </c>
      <c r="BP12" s="92">
        <f t="shared" si="1"/>
        <v>6409</v>
      </c>
      <c r="BQ12" s="92">
        <f t="shared" si="1"/>
        <v>1179</v>
      </c>
      <c r="BR12" s="24">
        <f t="shared" si="1"/>
        <v>1770</v>
      </c>
      <c r="BS12" s="24">
        <f t="shared" si="1"/>
        <v>421</v>
      </c>
      <c r="BT12" s="24">
        <f t="shared" si="1"/>
        <v>66948</v>
      </c>
      <c r="BU12" s="24">
        <f t="shared" si="1"/>
        <v>7908</v>
      </c>
      <c r="BV12" s="92">
        <f t="shared" si="1"/>
        <v>291770</v>
      </c>
      <c r="BW12" s="92">
        <f t="shared" si="1"/>
        <v>3076.3694000000251</v>
      </c>
      <c r="BX12" s="92">
        <f t="shared" si="1"/>
        <v>663246</v>
      </c>
      <c r="BY12" s="92">
        <f t="shared" si="1"/>
        <v>12375.01999999996</v>
      </c>
      <c r="BZ12" s="92">
        <f t="shared" si="1"/>
        <v>-375</v>
      </c>
      <c r="CA12" s="92">
        <f t="shared" si="1"/>
        <v>26</v>
      </c>
      <c r="CB12" s="92">
        <f t="shared" si="1"/>
        <v>15385</v>
      </c>
      <c r="CC12" s="92">
        <f t="shared" si="1"/>
        <v>566</v>
      </c>
      <c r="CD12" s="92">
        <f t="shared" si="1"/>
        <v>3710</v>
      </c>
      <c r="CE12" s="92">
        <f t="shared" si="1"/>
        <v>410.49000000000035</v>
      </c>
      <c r="CF12" s="92">
        <f t="shared" si="1"/>
        <v>22299</v>
      </c>
      <c r="CG12" s="92">
        <f t="shared" si="1"/>
        <v>2353.2700000000013</v>
      </c>
      <c r="CH12" s="92">
        <f t="shared" si="1"/>
        <v>345219</v>
      </c>
      <c r="CI12" s="92">
        <f t="shared" si="1"/>
        <v>14346</v>
      </c>
      <c r="CJ12" s="92">
        <f t="shared" si="1"/>
        <v>824933</v>
      </c>
      <c r="CK12" s="92">
        <f t="shared" si="1"/>
        <v>39686</v>
      </c>
      <c r="CL12" s="92">
        <f>CL13-CL11-CL10-CL9-CL8-CL7-CL6</f>
        <v>172870</v>
      </c>
      <c r="CM12" s="92">
        <f t="shared" si="1"/>
        <v>13629</v>
      </c>
      <c r="CN12" s="92">
        <f t="shared" si="1"/>
        <v>410873</v>
      </c>
      <c r="CO12" s="92">
        <f t="shared" si="1"/>
        <v>35385</v>
      </c>
      <c r="CP12" s="92">
        <f t="shared" si="1"/>
        <v>554021</v>
      </c>
      <c r="CQ12" s="92">
        <f t="shared" si="1"/>
        <v>23877.23000000001</v>
      </c>
      <c r="CR12" s="92">
        <f t="shared" si="1"/>
        <v>5753931</v>
      </c>
      <c r="CS12" s="92">
        <f t="shared" si="1"/>
        <v>211877.62999999998</v>
      </c>
      <c r="CT12" s="92">
        <f t="shared" si="1"/>
        <v>693611</v>
      </c>
      <c r="CU12" s="92">
        <f t="shared" si="1"/>
        <v>17776.629999999997</v>
      </c>
      <c r="CV12" s="92">
        <f t="shared" si="1"/>
        <v>1526090</v>
      </c>
      <c r="CW12" s="92">
        <f t="shared" si="1"/>
        <v>42088.594299999997</v>
      </c>
      <c r="CX12" s="92">
        <f t="shared" ref="CX12:DR12" si="2">CX13-CX11-CX10-CX9-CX8-CX7-CX6</f>
        <v>4270</v>
      </c>
      <c r="CY12" s="92">
        <f t="shared" si="2"/>
        <v>647</v>
      </c>
      <c r="CZ12" s="92">
        <f t="shared" si="2"/>
        <v>44302</v>
      </c>
      <c r="DA12" s="92">
        <f t="shared" si="2"/>
        <v>7606</v>
      </c>
      <c r="DB12" s="92">
        <f t="shared" si="2"/>
        <v>352074</v>
      </c>
      <c r="DC12" s="92">
        <f t="shared" si="2"/>
        <v>28732</v>
      </c>
      <c r="DD12" s="92">
        <f t="shared" si="2"/>
        <v>798947</v>
      </c>
      <c r="DE12" s="92">
        <f t="shared" si="2"/>
        <v>67629</v>
      </c>
      <c r="DF12" s="92">
        <f t="shared" si="2"/>
        <v>-52857</v>
      </c>
      <c r="DG12" s="92">
        <f t="shared" si="2"/>
        <v>2143.6799999998475</v>
      </c>
      <c r="DH12" s="92">
        <f t="shared" si="2"/>
        <v>144673</v>
      </c>
      <c r="DI12" s="92">
        <f t="shared" si="2"/>
        <v>8005.8299999997253</v>
      </c>
      <c r="DJ12" s="92">
        <f t="shared" si="2"/>
        <v>47184</v>
      </c>
      <c r="DK12" s="92">
        <f t="shared" si="2"/>
        <v>13911.869999999966</v>
      </c>
      <c r="DL12" s="92">
        <f t="shared" si="2"/>
        <v>450236</v>
      </c>
      <c r="DM12" s="92">
        <f t="shared" si="2"/>
        <v>35875.380000000005</v>
      </c>
      <c r="DN12" s="92">
        <f t="shared" si="2"/>
        <v>130442</v>
      </c>
      <c r="DO12" s="92">
        <f t="shared" si="2"/>
        <v>6201.8699999999953</v>
      </c>
      <c r="DP12" s="92">
        <f t="shared" si="2"/>
        <v>608496</v>
      </c>
      <c r="DQ12" s="92">
        <f t="shared" si="2"/>
        <v>22920.290000000037</v>
      </c>
      <c r="DR12" s="92">
        <f t="shared" si="2"/>
        <v>245135</v>
      </c>
      <c r="DS12" s="92">
        <f t="shared" ref="DS12:DU12" si="3">DS13-DS11-DS10-DS9-DS8-DS7-DS6</f>
        <v>53667.56</v>
      </c>
      <c r="DT12" s="92">
        <f t="shared" si="3"/>
        <v>319418</v>
      </c>
      <c r="DU12" s="92">
        <f t="shared" si="3"/>
        <v>129663.4</v>
      </c>
    </row>
    <row r="13" spans="1:125" s="7" customFormat="1" x14ac:dyDescent="0.25">
      <c r="A13" s="10" t="s">
        <v>118</v>
      </c>
      <c r="B13" s="10">
        <v>660684</v>
      </c>
      <c r="C13" s="10">
        <v>28367</v>
      </c>
      <c r="D13" s="10">
        <v>1908923</v>
      </c>
      <c r="E13" s="10">
        <v>69842</v>
      </c>
      <c r="F13" s="10">
        <v>120780</v>
      </c>
      <c r="G13" s="10">
        <v>40620</v>
      </c>
      <c r="H13" s="10">
        <v>430834</v>
      </c>
      <c r="I13" s="10">
        <v>116986</v>
      </c>
      <c r="J13" s="10">
        <v>9919210</v>
      </c>
      <c r="K13" s="10">
        <v>191087</v>
      </c>
      <c r="L13" s="10">
        <v>29805166</v>
      </c>
      <c r="M13" s="10">
        <v>987212</v>
      </c>
      <c r="N13" s="10">
        <v>5802043</v>
      </c>
      <c r="O13" s="10">
        <v>293657</v>
      </c>
      <c r="P13" s="10">
        <v>16158357</v>
      </c>
      <c r="Q13" s="10">
        <v>1041969</v>
      </c>
      <c r="R13" s="10">
        <v>364970</v>
      </c>
      <c r="S13" s="10">
        <v>97143</v>
      </c>
      <c r="T13" s="10">
        <v>1021988</v>
      </c>
      <c r="U13" s="10">
        <v>264941</v>
      </c>
      <c r="V13" s="10">
        <v>3104423</v>
      </c>
      <c r="W13" s="10">
        <v>131989</v>
      </c>
      <c r="X13" s="10">
        <v>6992080</v>
      </c>
      <c r="Y13" s="10">
        <v>344204</v>
      </c>
      <c r="Z13" s="10">
        <v>838</v>
      </c>
      <c r="AA13" s="10">
        <v>12425.98</v>
      </c>
      <c r="AB13" s="10">
        <v>2250</v>
      </c>
      <c r="AC13" s="10">
        <v>33579.31</v>
      </c>
      <c r="AD13" s="10">
        <v>94097</v>
      </c>
      <c r="AE13" s="10">
        <v>11284.57</v>
      </c>
      <c r="AF13" s="10">
        <v>200006</v>
      </c>
      <c r="AG13" s="10">
        <v>26682.73</v>
      </c>
      <c r="AH13" s="10">
        <v>899537</v>
      </c>
      <c r="AI13" s="10">
        <v>108839.58</v>
      </c>
      <c r="AJ13" s="10">
        <v>2461141</v>
      </c>
      <c r="AK13" s="10">
        <v>290601.2</v>
      </c>
      <c r="AL13" s="10">
        <v>2270146</v>
      </c>
      <c r="AM13" s="10">
        <v>139006</v>
      </c>
      <c r="AN13" s="10">
        <v>5374934</v>
      </c>
      <c r="AO13" s="10">
        <v>317018</v>
      </c>
      <c r="AP13" s="10">
        <v>2203929</v>
      </c>
      <c r="AQ13" s="10">
        <v>302193</v>
      </c>
      <c r="AR13" s="10">
        <v>6379944</v>
      </c>
      <c r="AS13" s="10">
        <v>954712</v>
      </c>
      <c r="AT13" s="10">
        <v>9604374</v>
      </c>
      <c r="AU13" s="10">
        <v>469858</v>
      </c>
      <c r="AV13" s="10">
        <v>21189224</v>
      </c>
      <c r="AW13" s="10">
        <v>1331122</v>
      </c>
      <c r="AX13" s="10">
        <v>2853098</v>
      </c>
      <c r="AY13" s="10">
        <v>194928.18909999999</v>
      </c>
      <c r="AZ13" s="10">
        <v>7085171</v>
      </c>
      <c r="BA13" s="10">
        <v>631448.48400000005</v>
      </c>
      <c r="BB13" s="10">
        <v>1106559</v>
      </c>
      <c r="BC13" s="10">
        <v>22287.79</v>
      </c>
      <c r="BD13" s="10">
        <v>2213351</v>
      </c>
      <c r="BE13" s="10">
        <v>50055.21</v>
      </c>
      <c r="BF13" s="10">
        <v>833184</v>
      </c>
      <c r="BG13" s="10">
        <v>38179.472549999999</v>
      </c>
      <c r="BH13" s="10">
        <v>1913392</v>
      </c>
      <c r="BI13" s="10">
        <v>107136.18489999999</v>
      </c>
      <c r="BJ13" s="10">
        <v>489228</v>
      </c>
      <c r="BK13" s="10">
        <v>46918</v>
      </c>
      <c r="BL13" s="10">
        <v>1163722</v>
      </c>
      <c r="BM13" s="10">
        <v>115891</v>
      </c>
      <c r="BN13" s="147">
        <v>75042</v>
      </c>
      <c r="BO13" s="147">
        <v>24847</v>
      </c>
      <c r="BP13" s="147">
        <v>237564</v>
      </c>
      <c r="BQ13" s="147">
        <v>69008</v>
      </c>
      <c r="BR13" s="10">
        <v>279603</v>
      </c>
      <c r="BS13" s="10">
        <v>66863</v>
      </c>
      <c r="BT13" s="124">
        <v>882754</v>
      </c>
      <c r="BU13" s="124">
        <v>191760</v>
      </c>
      <c r="BV13" s="10">
        <v>3651592</v>
      </c>
      <c r="BW13" s="10">
        <v>317241.48940000002</v>
      </c>
      <c r="BX13" s="10">
        <v>9930158</v>
      </c>
      <c r="BY13" s="10">
        <v>1003286</v>
      </c>
      <c r="BZ13" s="10">
        <v>120166</v>
      </c>
      <c r="CA13" s="10">
        <v>2930</v>
      </c>
      <c r="CB13" s="10">
        <v>239837</v>
      </c>
      <c r="CC13" s="10">
        <v>6591</v>
      </c>
      <c r="CD13" s="10">
        <v>42611</v>
      </c>
      <c r="CE13" s="10">
        <v>8562.94</v>
      </c>
      <c r="CF13" s="10">
        <v>145053</v>
      </c>
      <c r="CG13" s="10">
        <v>27148.82</v>
      </c>
      <c r="CH13" s="10">
        <v>2142453</v>
      </c>
      <c r="CI13" s="10">
        <v>213081</v>
      </c>
      <c r="CJ13" s="10">
        <v>5062180</v>
      </c>
      <c r="CK13" s="10">
        <v>720333</v>
      </c>
      <c r="CL13" s="10">
        <v>685802</v>
      </c>
      <c r="CM13" s="10">
        <v>71238</v>
      </c>
      <c r="CN13" s="10">
        <v>1643142</v>
      </c>
      <c r="CO13" s="10">
        <v>206518</v>
      </c>
      <c r="CP13" s="10">
        <v>2265594</v>
      </c>
      <c r="CQ13" s="10">
        <v>184296</v>
      </c>
      <c r="CR13" s="10">
        <v>9105244</v>
      </c>
      <c r="CS13" s="10">
        <v>597191</v>
      </c>
      <c r="CT13" s="10">
        <v>1261237</v>
      </c>
      <c r="CU13" s="10">
        <v>48823.1</v>
      </c>
      <c r="CV13" s="10">
        <v>3063662</v>
      </c>
      <c r="CW13" s="10">
        <v>126886.4243</v>
      </c>
      <c r="CX13" s="10">
        <v>1774272</v>
      </c>
      <c r="CY13" s="10">
        <v>270454</v>
      </c>
      <c r="CZ13" s="10">
        <v>5207119</v>
      </c>
      <c r="DA13" s="10">
        <v>777432</v>
      </c>
      <c r="DB13" s="10">
        <v>2757342</v>
      </c>
      <c r="DC13" s="10">
        <v>258558</v>
      </c>
      <c r="DD13" s="10">
        <v>6219721</v>
      </c>
      <c r="DE13" s="10">
        <v>695213</v>
      </c>
      <c r="DF13" s="10">
        <v>8397645</v>
      </c>
      <c r="DG13" s="10">
        <v>800712.32</v>
      </c>
      <c r="DH13" s="10">
        <v>21586704</v>
      </c>
      <c r="DI13" s="10">
        <v>2481013.4</v>
      </c>
      <c r="DJ13" s="10">
        <v>1882444</v>
      </c>
      <c r="DK13" s="10">
        <v>324411.40999999997</v>
      </c>
      <c r="DL13" s="10">
        <v>5336141</v>
      </c>
      <c r="DM13" s="10">
        <v>1037388.2</v>
      </c>
      <c r="DN13" s="10">
        <v>3372087</v>
      </c>
      <c r="DO13" s="10">
        <v>348636.93</v>
      </c>
      <c r="DP13" s="10">
        <v>9434215</v>
      </c>
      <c r="DQ13" s="10">
        <v>1100383.5</v>
      </c>
      <c r="DR13" s="10">
        <v>803659</v>
      </c>
      <c r="DS13" s="10">
        <v>94704</v>
      </c>
      <c r="DT13" s="10">
        <v>1646908</v>
      </c>
      <c r="DU13" s="10">
        <v>251706</v>
      </c>
    </row>
    <row r="14" spans="1:125" x14ac:dyDescent="0.25">
      <c r="A14" s="76" t="s">
        <v>119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81"/>
      <c r="BS14" s="123"/>
      <c r="BT14" s="81"/>
      <c r="BU14" s="81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</row>
    <row r="15" spans="1:125" s="7" customFormat="1" x14ac:dyDescent="0.25">
      <c r="A15" s="10" t="s">
        <v>120</v>
      </c>
      <c r="B15" s="10">
        <f>B13+B14</f>
        <v>660684</v>
      </c>
      <c r="C15" s="10">
        <f t="shared" ref="C15:BN15" si="4">C13+C14</f>
        <v>28367</v>
      </c>
      <c r="D15" s="10">
        <f t="shared" si="4"/>
        <v>1908923</v>
      </c>
      <c r="E15" s="10">
        <f t="shared" si="4"/>
        <v>69842</v>
      </c>
      <c r="F15" s="10">
        <f t="shared" si="4"/>
        <v>120780</v>
      </c>
      <c r="G15" s="10">
        <f t="shared" si="4"/>
        <v>40620</v>
      </c>
      <c r="H15" s="10">
        <f t="shared" si="4"/>
        <v>430834</v>
      </c>
      <c r="I15" s="10">
        <f t="shared" si="4"/>
        <v>116986</v>
      </c>
      <c r="J15" s="10">
        <f t="shared" si="4"/>
        <v>9919210</v>
      </c>
      <c r="K15" s="10">
        <f t="shared" si="4"/>
        <v>191087</v>
      </c>
      <c r="L15" s="10">
        <f t="shared" si="4"/>
        <v>29805166</v>
      </c>
      <c r="M15" s="10">
        <f t="shared" si="4"/>
        <v>987212</v>
      </c>
      <c r="N15" s="10">
        <f t="shared" si="4"/>
        <v>5802043</v>
      </c>
      <c r="O15" s="10">
        <f t="shared" si="4"/>
        <v>293657</v>
      </c>
      <c r="P15" s="10">
        <f t="shared" si="4"/>
        <v>16158357</v>
      </c>
      <c r="Q15" s="10">
        <f t="shared" si="4"/>
        <v>1041969</v>
      </c>
      <c r="R15" s="10">
        <f t="shared" si="4"/>
        <v>364970</v>
      </c>
      <c r="S15" s="10">
        <f t="shared" si="4"/>
        <v>97143</v>
      </c>
      <c r="T15" s="10">
        <f t="shared" si="4"/>
        <v>1021988</v>
      </c>
      <c r="U15" s="10">
        <f t="shared" si="4"/>
        <v>264941</v>
      </c>
      <c r="V15" s="10">
        <f t="shared" si="4"/>
        <v>3104423</v>
      </c>
      <c r="W15" s="10">
        <f t="shared" si="4"/>
        <v>131989</v>
      </c>
      <c r="X15" s="10">
        <f t="shared" si="4"/>
        <v>6992080</v>
      </c>
      <c r="Y15" s="10">
        <f t="shared" si="4"/>
        <v>344204</v>
      </c>
      <c r="Z15" s="10">
        <f t="shared" si="4"/>
        <v>838</v>
      </c>
      <c r="AA15" s="10">
        <f t="shared" si="4"/>
        <v>12425.98</v>
      </c>
      <c r="AB15" s="10">
        <f t="shared" si="4"/>
        <v>2250</v>
      </c>
      <c r="AC15" s="10">
        <f t="shared" si="4"/>
        <v>33579.31</v>
      </c>
      <c r="AD15" s="10">
        <f t="shared" si="4"/>
        <v>94097</v>
      </c>
      <c r="AE15" s="10">
        <f t="shared" si="4"/>
        <v>11284.57</v>
      </c>
      <c r="AF15" s="10">
        <f t="shared" si="4"/>
        <v>200006</v>
      </c>
      <c r="AG15" s="10">
        <f t="shared" si="4"/>
        <v>26682.73</v>
      </c>
      <c r="AH15" s="10">
        <f t="shared" si="4"/>
        <v>899537</v>
      </c>
      <c r="AI15" s="10">
        <f t="shared" si="4"/>
        <v>108839.58</v>
      </c>
      <c r="AJ15" s="10">
        <f t="shared" si="4"/>
        <v>2461141</v>
      </c>
      <c r="AK15" s="10">
        <f t="shared" si="4"/>
        <v>290601.2</v>
      </c>
      <c r="AL15" s="10">
        <f t="shared" si="4"/>
        <v>2270146</v>
      </c>
      <c r="AM15" s="10">
        <f t="shared" si="4"/>
        <v>139006</v>
      </c>
      <c r="AN15" s="10">
        <f t="shared" si="4"/>
        <v>5374934</v>
      </c>
      <c r="AO15" s="10">
        <f t="shared" si="4"/>
        <v>317018</v>
      </c>
      <c r="AP15" s="10">
        <f t="shared" si="4"/>
        <v>2203929</v>
      </c>
      <c r="AQ15" s="10">
        <f t="shared" si="4"/>
        <v>302193</v>
      </c>
      <c r="AR15" s="10">
        <f t="shared" si="4"/>
        <v>6379944</v>
      </c>
      <c r="AS15" s="10">
        <f t="shared" si="4"/>
        <v>954712</v>
      </c>
      <c r="AT15" s="10">
        <f t="shared" si="4"/>
        <v>9604374</v>
      </c>
      <c r="AU15" s="10">
        <f t="shared" si="4"/>
        <v>469858</v>
      </c>
      <c r="AV15" s="10">
        <f t="shared" si="4"/>
        <v>21189224</v>
      </c>
      <c r="AW15" s="10">
        <f t="shared" si="4"/>
        <v>1331122</v>
      </c>
      <c r="AX15" s="10">
        <f t="shared" si="4"/>
        <v>2853098</v>
      </c>
      <c r="AY15" s="10">
        <f t="shared" si="4"/>
        <v>194928.18909999999</v>
      </c>
      <c r="AZ15" s="10">
        <f t="shared" si="4"/>
        <v>7085171</v>
      </c>
      <c r="BA15" s="10">
        <f t="shared" si="4"/>
        <v>631448.48400000005</v>
      </c>
      <c r="BB15" s="10">
        <f t="shared" si="4"/>
        <v>1106559</v>
      </c>
      <c r="BC15" s="10">
        <f t="shared" si="4"/>
        <v>22287.79</v>
      </c>
      <c r="BD15" s="10">
        <f t="shared" si="4"/>
        <v>2213351</v>
      </c>
      <c r="BE15" s="10">
        <f t="shared" si="4"/>
        <v>50055.21</v>
      </c>
      <c r="BF15" s="10">
        <f t="shared" si="4"/>
        <v>833184</v>
      </c>
      <c r="BG15" s="10">
        <f t="shared" si="4"/>
        <v>38179.472549999999</v>
      </c>
      <c r="BH15" s="10">
        <f t="shared" si="4"/>
        <v>1913392</v>
      </c>
      <c r="BI15" s="10">
        <f t="shared" si="4"/>
        <v>107136.18489999999</v>
      </c>
      <c r="BJ15" s="10">
        <f t="shared" si="4"/>
        <v>489228</v>
      </c>
      <c r="BK15" s="10">
        <f t="shared" si="4"/>
        <v>46918</v>
      </c>
      <c r="BL15" s="10">
        <f t="shared" si="4"/>
        <v>1163722</v>
      </c>
      <c r="BM15" s="10">
        <f t="shared" si="4"/>
        <v>115891</v>
      </c>
      <c r="BN15" s="10">
        <f t="shared" si="4"/>
        <v>75042</v>
      </c>
      <c r="BO15" s="10">
        <f t="shared" ref="BO15:CW15" si="5">BO13+BO14</f>
        <v>24847</v>
      </c>
      <c r="BP15" s="10">
        <f t="shared" si="5"/>
        <v>237564</v>
      </c>
      <c r="BQ15" s="10">
        <f t="shared" si="5"/>
        <v>69008</v>
      </c>
      <c r="BR15" s="10">
        <f t="shared" si="5"/>
        <v>279603</v>
      </c>
      <c r="BS15" s="10">
        <f t="shared" si="5"/>
        <v>66863</v>
      </c>
      <c r="BT15" s="10">
        <f t="shared" si="5"/>
        <v>882754</v>
      </c>
      <c r="BU15" s="10">
        <f t="shared" si="5"/>
        <v>191760</v>
      </c>
      <c r="BV15" s="10">
        <f t="shared" si="5"/>
        <v>3651592</v>
      </c>
      <c r="BW15" s="10">
        <f t="shared" si="5"/>
        <v>317241.48940000002</v>
      </c>
      <c r="BX15" s="10">
        <f t="shared" si="5"/>
        <v>9930158</v>
      </c>
      <c r="BY15" s="10">
        <f t="shared" si="5"/>
        <v>1003286</v>
      </c>
      <c r="BZ15" s="10">
        <f t="shared" si="5"/>
        <v>120166</v>
      </c>
      <c r="CA15" s="10">
        <f t="shared" si="5"/>
        <v>2930</v>
      </c>
      <c r="CB15" s="10">
        <f t="shared" si="5"/>
        <v>239837</v>
      </c>
      <c r="CC15" s="10">
        <f t="shared" si="5"/>
        <v>6591</v>
      </c>
      <c r="CD15" s="10">
        <f t="shared" si="5"/>
        <v>42611</v>
      </c>
      <c r="CE15" s="10">
        <f t="shared" si="5"/>
        <v>8562.94</v>
      </c>
      <c r="CF15" s="10">
        <f t="shared" si="5"/>
        <v>145053</v>
      </c>
      <c r="CG15" s="10">
        <f t="shared" si="5"/>
        <v>27148.82</v>
      </c>
      <c r="CH15" s="10">
        <f t="shared" si="5"/>
        <v>2142453</v>
      </c>
      <c r="CI15" s="10">
        <f t="shared" si="5"/>
        <v>213081</v>
      </c>
      <c r="CJ15" s="10">
        <f t="shared" si="5"/>
        <v>5062180</v>
      </c>
      <c r="CK15" s="10">
        <f t="shared" si="5"/>
        <v>720333</v>
      </c>
      <c r="CL15" s="10">
        <f>CL13+CL14</f>
        <v>685802</v>
      </c>
      <c r="CM15" s="10">
        <f t="shared" si="5"/>
        <v>71238</v>
      </c>
      <c r="CN15" s="10">
        <f t="shared" si="5"/>
        <v>1643142</v>
      </c>
      <c r="CO15" s="10">
        <f t="shared" si="5"/>
        <v>206518</v>
      </c>
      <c r="CP15" s="10">
        <f t="shared" si="5"/>
        <v>2265594</v>
      </c>
      <c r="CQ15" s="10">
        <f t="shared" si="5"/>
        <v>184296</v>
      </c>
      <c r="CR15" s="10">
        <f t="shared" si="5"/>
        <v>9105244</v>
      </c>
      <c r="CS15" s="10">
        <f t="shared" si="5"/>
        <v>597191</v>
      </c>
      <c r="CT15" s="10">
        <f t="shared" si="5"/>
        <v>1261237</v>
      </c>
      <c r="CU15" s="10">
        <f t="shared" si="5"/>
        <v>48823.1</v>
      </c>
      <c r="CV15" s="10">
        <f t="shared" si="5"/>
        <v>3063662</v>
      </c>
      <c r="CW15" s="10">
        <f t="shared" si="5"/>
        <v>126886.4243</v>
      </c>
      <c r="CX15" s="10">
        <f t="shared" ref="CX15:DR15" si="6">CX13+CX14</f>
        <v>1774272</v>
      </c>
      <c r="CY15" s="10">
        <f t="shared" si="6"/>
        <v>270454</v>
      </c>
      <c r="CZ15" s="10">
        <f t="shared" si="6"/>
        <v>5207119</v>
      </c>
      <c r="DA15" s="10">
        <f t="shared" si="6"/>
        <v>777432</v>
      </c>
      <c r="DB15" s="10">
        <f t="shared" si="6"/>
        <v>2757342</v>
      </c>
      <c r="DC15" s="10">
        <f t="shared" si="6"/>
        <v>258558</v>
      </c>
      <c r="DD15" s="10">
        <f t="shared" si="6"/>
        <v>6219721</v>
      </c>
      <c r="DE15" s="10">
        <f t="shared" si="6"/>
        <v>695213</v>
      </c>
      <c r="DF15" s="10">
        <f t="shared" si="6"/>
        <v>8397645</v>
      </c>
      <c r="DG15" s="10">
        <f t="shared" si="6"/>
        <v>800712.32</v>
      </c>
      <c r="DH15" s="10">
        <f t="shared" si="6"/>
        <v>21586704</v>
      </c>
      <c r="DI15" s="10">
        <f t="shared" si="6"/>
        <v>2481013.4</v>
      </c>
      <c r="DJ15" s="10">
        <f t="shared" si="6"/>
        <v>1882444</v>
      </c>
      <c r="DK15" s="10">
        <f t="shared" si="6"/>
        <v>324411.40999999997</v>
      </c>
      <c r="DL15" s="10">
        <f t="shared" si="6"/>
        <v>5336141</v>
      </c>
      <c r="DM15" s="10">
        <f t="shared" si="6"/>
        <v>1037388.2</v>
      </c>
      <c r="DN15" s="10">
        <f t="shared" si="6"/>
        <v>3372087</v>
      </c>
      <c r="DO15" s="10">
        <f t="shared" si="6"/>
        <v>348636.93</v>
      </c>
      <c r="DP15" s="10">
        <f t="shared" si="6"/>
        <v>9434215</v>
      </c>
      <c r="DQ15" s="10">
        <f t="shared" si="6"/>
        <v>1100383.5</v>
      </c>
      <c r="DR15" s="10">
        <f t="shared" si="6"/>
        <v>803659</v>
      </c>
      <c r="DS15" s="10">
        <f t="shared" ref="DS15:DU15" si="7">DS13+DS14</f>
        <v>94704</v>
      </c>
      <c r="DT15" s="10">
        <f t="shared" si="7"/>
        <v>1646908</v>
      </c>
      <c r="DU15" s="10">
        <f t="shared" si="7"/>
        <v>251706</v>
      </c>
    </row>
    <row r="16" spans="1:125" x14ac:dyDescent="0.25">
      <c r="BR16" s="22"/>
      <c r="BS16" s="22"/>
      <c r="BT16" s="22"/>
      <c r="BU16" s="22"/>
    </row>
    <row r="17" spans="12:73" x14ac:dyDescent="0.25">
      <c r="BR17" s="22"/>
      <c r="BS17" s="22"/>
      <c r="BT17" s="22"/>
      <c r="BU17" s="22"/>
    </row>
    <row r="18" spans="12:73" x14ac:dyDescent="0.25">
      <c r="L18" s="71"/>
      <c r="AP18" s="71"/>
    </row>
    <row r="19" spans="12:73" x14ac:dyDescent="0.25">
      <c r="L19" s="71"/>
      <c r="AM19" s="71"/>
      <c r="AY19" s="71"/>
    </row>
    <row r="20" spans="12:73" x14ac:dyDescent="0.25">
      <c r="AM20" s="71"/>
    </row>
    <row r="21" spans="12:73" x14ac:dyDescent="0.25">
      <c r="AP21" s="71"/>
    </row>
  </sheetData>
  <mergeCells count="93">
    <mergeCell ref="BF3:BI3"/>
    <mergeCell ref="BJ3:BM3"/>
    <mergeCell ref="BN3:BQ3"/>
    <mergeCell ref="AT4:AU4"/>
    <mergeCell ref="AV4:AW4"/>
    <mergeCell ref="AX4:AY4"/>
    <mergeCell ref="BP4:BQ4"/>
    <mergeCell ref="AZ4:BA4"/>
    <mergeCell ref="BB4:BC4"/>
    <mergeCell ref="BD4:BE4"/>
    <mergeCell ref="AH3:AK3"/>
    <mergeCell ref="AP3:AS3"/>
    <mergeCell ref="AT3:AW3"/>
    <mergeCell ref="AX3:BA3"/>
    <mergeCell ref="BB3:BE3"/>
    <mergeCell ref="BV3:BY3"/>
    <mergeCell ref="BZ3:CC3"/>
    <mergeCell ref="CD3:CG3"/>
    <mergeCell ref="CH3:CK3"/>
    <mergeCell ref="BR3:BU3"/>
    <mergeCell ref="R3:U3"/>
    <mergeCell ref="T4:U4"/>
    <mergeCell ref="AL3:AO3"/>
    <mergeCell ref="AF4:AG4"/>
    <mergeCell ref="AH4:AI4"/>
    <mergeCell ref="AJ4:AK4"/>
    <mergeCell ref="AL4:AM4"/>
    <mergeCell ref="AN4:AO4"/>
    <mergeCell ref="V4:W4"/>
    <mergeCell ref="X4:Y4"/>
    <mergeCell ref="Z4:AA4"/>
    <mergeCell ref="V3:Y3"/>
    <mergeCell ref="AB4:AC4"/>
    <mergeCell ref="AD4:AE4"/>
    <mergeCell ref="Z3:AC3"/>
    <mergeCell ref="AD3:AG3"/>
    <mergeCell ref="B3:E3"/>
    <mergeCell ref="F3:I3"/>
    <mergeCell ref="J3:M3"/>
    <mergeCell ref="N3:Q3"/>
    <mergeCell ref="CZ4:DA4"/>
    <mergeCell ref="R4:S4"/>
    <mergeCell ref="AP4:AQ4"/>
    <mergeCell ref="AR4:AS4"/>
    <mergeCell ref="CL3:CO3"/>
    <mergeCell ref="CL4:CM4"/>
    <mergeCell ref="CN4:CO4"/>
    <mergeCell ref="CP3:CS3"/>
    <mergeCell ref="CT3:CW3"/>
    <mergeCell ref="CX3:DA3"/>
    <mergeCell ref="CX4:CY4"/>
    <mergeCell ref="L4:M4"/>
    <mergeCell ref="DB4:DC4"/>
    <mergeCell ref="DR3:DU3"/>
    <mergeCell ref="DT4:DU4"/>
    <mergeCell ref="DR4:DS4"/>
    <mergeCell ref="DL4:DM4"/>
    <mergeCell ref="DN4:DO4"/>
    <mergeCell ref="DP4:DQ4"/>
    <mergeCell ref="DD4:DE4"/>
    <mergeCell ref="DF3:DI3"/>
    <mergeCell ref="DJ3:DM3"/>
    <mergeCell ref="DN3:DQ3"/>
    <mergeCell ref="DJ4:DK4"/>
    <mergeCell ref="DF4:DG4"/>
    <mergeCell ref="DH4:DI4"/>
    <mergeCell ref="DB3:DE3"/>
    <mergeCell ref="N4:O4"/>
    <mergeCell ref="P4:Q4"/>
    <mergeCell ref="B4:C4"/>
    <mergeCell ref="D4:E4"/>
    <mergeCell ref="F4:G4"/>
    <mergeCell ref="H4:I4"/>
    <mergeCell ref="J4:K4"/>
    <mergeCell ref="BV4:BW4"/>
    <mergeCell ref="BX4:BY4"/>
    <mergeCell ref="BF4:BG4"/>
    <mergeCell ref="BH4:BI4"/>
    <mergeCell ref="BJ4:BK4"/>
    <mergeCell ref="BL4:BM4"/>
    <mergeCell ref="BN4:BO4"/>
    <mergeCell ref="BR4:BS4"/>
    <mergeCell ref="BT4:BU4"/>
    <mergeCell ref="CJ4:CK4"/>
    <mergeCell ref="CP4:CQ4"/>
    <mergeCell ref="CR4:CS4"/>
    <mergeCell ref="CT4:CU4"/>
    <mergeCell ref="CV4:CW4"/>
    <mergeCell ref="BZ4:CA4"/>
    <mergeCell ref="CB4:CC4"/>
    <mergeCell ref="CD4:CE4"/>
    <mergeCell ref="CF4:CG4"/>
    <mergeCell ref="CH4:C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3" width="16" style="6" customWidth="1"/>
    <col min="64" max="65" width="16" style="32" customWidth="1"/>
    <col min="66" max="16384" width="9.140625" style="6"/>
  </cols>
  <sheetData>
    <row r="1" spans="1:65" ht="18.75" x14ac:dyDescent="0.3">
      <c r="A1" s="12" t="s">
        <v>233</v>
      </c>
    </row>
    <row r="2" spans="1:65" x14ac:dyDescent="0.25">
      <c r="A2" s="5" t="s">
        <v>98</v>
      </c>
    </row>
    <row r="3" spans="1:65" x14ac:dyDescent="0.25">
      <c r="A3" s="3" t="s">
        <v>0</v>
      </c>
      <c r="B3" s="153" t="s">
        <v>1</v>
      </c>
      <c r="C3" s="154"/>
      <c r="D3" s="153" t="s">
        <v>234</v>
      </c>
      <c r="E3" s="154"/>
      <c r="F3" s="153" t="s">
        <v>2</v>
      </c>
      <c r="G3" s="154"/>
      <c r="H3" s="153" t="s">
        <v>3</v>
      </c>
      <c r="I3" s="154"/>
      <c r="J3" s="153" t="s">
        <v>243</v>
      </c>
      <c r="K3" s="154"/>
      <c r="L3" s="153" t="s">
        <v>235</v>
      </c>
      <c r="M3" s="154"/>
      <c r="N3" s="153" t="s">
        <v>246</v>
      </c>
      <c r="O3" s="154"/>
      <c r="P3" s="153" t="s">
        <v>5</v>
      </c>
      <c r="Q3" s="154"/>
      <c r="R3" s="153" t="s">
        <v>4</v>
      </c>
      <c r="S3" s="154"/>
      <c r="T3" s="153" t="s">
        <v>6</v>
      </c>
      <c r="U3" s="154"/>
      <c r="V3" s="153" t="s">
        <v>7</v>
      </c>
      <c r="W3" s="154"/>
      <c r="X3" s="153" t="s">
        <v>8</v>
      </c>
      <c r="Y3" s="154"/>
      <c r="Z3" s="153" t="s">
        <v>9</v>
      </c>
      <c r="AA3" s="154"/>
      <c r="AB3" s="153" t="s">
        <v>242</v>
      </c>
      <c r="AC3" s="154"/>
      <c r="AD3" s="153" t="s">
        <v>10</v>
      </c>
      <c r="AE3" s="154"/>
      <c r="AF3" s="153" t="s">
        <v>11</v>
      </c>
      <c r="AG3" s="154"/>
      <c r="AH3" s="153" t="s">
        <v>236</v>
      </c>
      <c r="AI3" s="154"/>
      <c r="AJ3" s="153" t="s">
        <v>245</v>
      </c>
      <c r="AK3" s="154"/>
      <c r="AL3" s="153" t="s">
        <v>12</v>
      </c>
      <c r="AM3" s="154"/>
      <c r="AN3" s="153" t="s">
        <v>237</v>
      </c>
      <c r="AO3" s="154"/>
      <c r="AP3" s="153" t="s">
        <v>238</v>
      </c>
      <c r="AQ3" s="154"/>
      <c r="AR3" s="153" t="s">
        <v>241</v>
      </c>
      <c r="AS3" s="154"/>
      <c r="AT3" s="153" t="s">
        <v>13</v>
      </c>
      <c r="AU3" s="154"/>
      <c r="AV3" s="153" t="s">
        <v>14</v>
      </c>
      <c r="AW3" s="154"/>
      <c r="AX3" s="153" t="s">
        <v>15</v>
      </c>
      <c r="AY3" s="154"/>
      <c r="AZ3" s="153" t="s">
        <v>16</v>
      </c>
      <c r="BA3" s="154"/>
      <c r="BB3" s="153" t="s">
        <v>17</v>
      </c>
      <c r="BC3" s="154"/>
      <c r="BD3" s="153" t="s">
        <v>239</v>
      </c>
      <c r="BE3" s="154"/>
      <c r="BF3" s="153" t="s">
        <v>240</v>
      </c>
      <c r="BG3" s="154"/>
      <c r="BH3" s="153" t="s">
        <v>18</v>
      </c>
      <c r="BI3" s="154"/>
      <c r="BJ3" s="153" t="s">
        <v>19</v>
      </c>
      <c r="BK3" s="154"/>
      <c r="BL3" s="155" t="s">
        <v>20</v>
      </c>
      <c r="BM3" s="156"/>
    </row>
    <row r="4" spans="1:65" ht="30" x14ac:dyDescent="0.25">
      <c r="A4" s="3"/>
      <c r="B4" s="53" t="s">
        <v>303</v>
      </c>
      <c r="C4" s="54" t="s">
        <v>302</v>
      </c>
      <c r="D4" s="53" t="s">
        <v>303</v>
      </c>
      <c r="E4" s="54" t="s">
        <v>302</v>
      </c>
      <c r="F4" s="53" t="s">
        <v>303</v>
      </c>
      <c r="G4" s="54" t="s">
        <v>302</v>
      </c>
      <c r="H4" s="53" t="s">
        <v>303</v>
      </c>
      <c r="I4" s="54" t="s">
        <v>302</v>
      </c>
      <c r="J4" s="53" t="s">
        <v>303</v>
      </c>
      <c r="K4" s="54" t="s">
        <v>302</v>
      </c>
      <c r="L4" s="53" t="s">
        <v>303</v>
      </c>
      <c r="M4" s="54" t="s">
        <v>302</v>
      </c>
      <c r="N4" s="53" t="s">
        <v>303</v>
      </c>
      <c r="O4" s="54" t="s">
        <v>302</v>
      </c>
      <c r="P4" s="53" t="s">
        <v>303</v>
      </c>
      <c r="Q4" s="54" t="s">
        <v>302</v>
      </c>
      <c r="R4" s="53" t="s">
        <v>303</v>
      </c>
      <c r="S4" s="54" t="s">
        <v>302</v>
      </c>
      <c r="T4" s="53" t="s">
        <v>303</v>
      </c>
      <c r="U4" s="54" t="s">
        <v>302</v>
      </c>
      <c r="V4" s="53" t="s">
        <v>303</v>
      </c>
      <c r="W4" s="54" t="s">
        <v>302</v>
      </c>
      <c r="X4" s="53" t="s">
        <v>303</v>
      </c>
      <c r="Y4" s="54" t="s">
        <v>302</v>
      </c>
      <c r="Z4" s="53" t="s">
        <v>303</v>
      </c>
      <c r="AA4" s="54" t="s">
        <v>302</v>
      </c>
      <c r="AB4" s="53" t="s">
        <v>303</v>
      </c>
      <c r="AC4" s="54" t="s">
        <v>302</v>
      </c>
      <c r="AD4" s="53" t="s">
        <v>303</v>
      </c>
      <c r="AE4" s="54" t="s">
        <v>302</v>
      </c>
      <c r="AF4" s="53" t="s">
        <v>303</v>
      </c>
      <c r="AG4" s="54" t="s">
        <v>302</v>
      </c>
      <c r="AH4" s="53" t="s">
        <v>303</v>
      </c>
      <c r="AI4" s="54" t="s">
        <v>302</v>
      </c>
      <c r="AJ4" s="53" t="s">
        <v>303</v>
      </c>
      <c r="AK4" s="54" t="s">
        <v>302</v>
      </c>
      <c r="AL4" s="53" t="s">
        <v>303</v>
      </c>
      <c r="AM4" s="54" t="s">
        <v>302</v>
      </c>
      <c r="AN4" s="53" t="s">
        <v>303</v>
      </c>
      <c r="AO4" s="54" t="s">
        <v>302</v>
      </c>
      <c r="AP4" s="53" t="s">
        <v>303</v>
      </c>
      <c r="AQ4" s="54" t="s">
        <v>302</v>
      </c>
      <c r="AR4" s="53" t="s">
        <v>303</v>
      </c>
      <c r="AS4" s="54" t="s">
        <v>302</v>
      </c>
      <c r="AT4" s="53" t="s">
        <v>303</v>
      </c>
      <c r="AU4" s="54" t="s">
        <v>302</v>
      </c>
      <c r="AV4" s="53" t="s">
        <v>303</v>
      </c>
      <c r="AW4" s="54" t="s">
        <v>302</v>
      </c>
      <c r="AX4" s="53" t="s">
        <v>303</v>
      </c>
      <c r="AY4" s="54" t="s">
        <v>302</v>
      </c>
      <c r="AZ4" s="53" t="s">
        <v>303</v>
      </c>
      <c r="BA4" s="54" t="s">
        <v>302</v>
      </c>
      <c r="BB4" s="53" t="s">
        <v>303</v>
      </c>
      <c r="BC4" s="54" t="s">
        <v>302</v>
      </c>
      <c r="BD4" s="53" t="s">
        <v>303</v>
      </c>
      <c r="BE4" s="54" t="s">
        <v>302</v>
      </c>
      <c r="BF4" s="53" t="s">
        <v>303</v>
      </c>
      <c r="BG4" s="54" t="s">
        <v>302</v>
      </c>
      <c r="BH4" s="53" t="s">
        <v>303</v>
      </c>
      <c r="BI4" s="54" t="s">
        <v>302</v>
      </c>
      <c r="BJ4" s="53" t="s">
        <v>303</v>
      </c>
      <c r="BK4" s="54" t="s">
        <v>302</v>
      </c>
      <c r="BL4" s="53" t="s">
        <v>303</v>
      </c>
      <c r="BM4" s="54" t="s">
        <v>302</v>
      </c>
    </row>
    <row r="5" spans="1:65" x14ac:dyDescent="0.25">
      <c r="A5" s="3" t="s">
        <v>215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66"/>
      <c r="BM5" s="66"/>
    </row>
    <row r="6" spans="1:65" x14ac:dyDescent="0.25">
      <c r="A6" s="2" t="s">
        <v>216</v>
      </c>
      <c r="B6" s="92">
        <v>-1</v>
      </c>
      <c r="C6" s="92">
        <v>-2</v>
      </c>
      <c r="D6" s="9"/>
      <c r="E6" s="9"/>
      <c r="F6" s="9"/>
      <c r="G6" s="9"/>
      <c r="H6" s="92">
        <v>-172</v>
      </c>
      <c r="I6" s="92">
        <v>7241</v>
      </c>
      <c r="J6" s="76"/>
      <c r="K6" s="76"/>
      <c r="L6" s="92">
        <v>4290</v>
      </c>
      <c r="M6" s="92">
        <v>5718</v>
      </c>
      <c r="N6" s="92">
        <v>-1254</v>
      </c>
      <c r="O6" s="92">
        <v>-4557</v>
      </c>
      <c r="P6" s="76"/>
      <c r="Q6" s="76"/>
      <c r="R6" s="91">
        <v>-113.72</v>
      </c>
      <c r="S6" s="91">
        <v>-170.55</v>
      </c>
      <c r="T6" s="92">
        <v>572.67999999999995</v>
      </c>
      <c r="U6" s="92">
        <v>-475.12</v>
      </c>
      <c r="V6" s="92">
        <v>2478</v>
      </c>
      <c r="W6" s="92">
        <v>2736</v>
      </c>
      <c r="X6" s="92">
        <v>12045</v>
      </c>
      <c r="Y6" s="92">
        <v>24091</v>
      </c>
      <c r="Z6" s="92">
        <v>3597</v>
      </c>
      <c r="AA6" s="92">
        <v>6446</v>
      </c>
      <c r="AB6" s="92">
        <v>119.68</v>
      </c>
      <c r="AC6" s="92">
        <v>398.15</v>
      </c>
      <c r="AD6" s="92">
        <v>838</v>
      </c>
      <c r="AE6" s="92">
        <v>1359</v>
      </c>
      <c r="AF6" s="92">
        <v>-1169.74</v>
      </c>
      <c r="AG6" s="92">
        <v>-3031.95</v>
      </c>
      <c r="AH6" s="9"/>
      <c r="AI6" s="9"/>
      <c r="AJ6" s="76"/>
      <c r="AK6" s="76"/>
      <c r="AL6" s="92">
        <v>2165.4899999999998</v>
      </c>
      <c r="AM6" s="92">
        <v>1913.82</v>
      </c>
      <c r="AN6" s="92">
        <v>72</v>
      </c>
      <c r="AO6" s="92">
        <v>557</v>
      </c>
      <c r="AP6" s="92">
        <v>-86</v>
      </c>
      <c r="AQ6" s="92">
        <v>-499</v>
      </c>
      <c r="AR6" s="9">
        <v>4986</v>
      </c>
      <c r="AS6" s="9">
        <v>11283</v>
      </c>
      <c r="AT6" s="92">
        <v>1386</v>
      </c>
      <c r="AU6" s="92">
        <v>4018</v>
      </c>
      <c r="AV6" s="92">
        <v>6293</v>
      </c>
      <c r="AW6" s="92">
        <v>21691</v>
      </c>
      <c r="AX6" s="92">
        <v>770</v>
      </c>
      <c r="AY6" s="92">
        <v>2035</v>
      </c>
      <c r="AZ6" s="9"/>
      <c r="BA6" s="9"/>
      <c r="BB6" s="92">
        <v>5313</v>
      </c>
      <c r="BC6" s="92">
        <v>880</v>
      </c>
      <c r="BD6" s="92">
        <v>38579</v>
      </c>
      <c r="BE6" s="92">
        <v>45360</v>
      </c>
      <c r="BF6" s="92">
        <v>-7370</v>
      </c>
      <c r="BG6" s="92">
        <v>-3967</v>
      </c>
      <c r="BH6" s="92">
        <v>-3231</v>
      </c>
      <c r="BI6" s="92">
        <v>-12446</v>
      </c>
      <c r="BJ6" s="92">
        <v>643</v>
      </c>
      <c r="BK6" s="92">
        <v>2058</v>
      </c>
      <c r="BL6" s="67">
        <f>B6+D6+F6+H6+J6+L6+N6+P6+R6+T6+V6+X6+Z6+AB6+AD6+AF6+AH6+AJ6+AL6+AN6+AP6+AR6+AT6+AV6+AX6+AZ6+BB6+BD6+BF6+BH6+BJ6</f>
        <v>70750.39</v>
      </c>
      <c r="BM6" s="67">
        <f>C6+E6+G6+I6+K6+M6+O6+Q6+S6+U6+W6+Y6+AA6+AC6+AE6+AG6+AI6+AK6+AM6+AO6+AQ6+AS6+AU6+AW6+AY6+BA6+BC6+BE6+BG6+BI6+BK6</f>
        <v>112636.35</v>
      </c>
    </row>
    <row r="7" spans="1:65" x14ac:dyDescent="0.25">
      <c r="A7" s="2" t="s">
        <v>217</v>
      </c>
      <c r="B7" s="92"/>
      <c r="C7" s="92"/>
      <c r="D7" s="9"/>
      <c r="E7" s="9"/>
      <c r="F7" s="9"/>
      <c r="G7" s="9"/>
      <c r="H7" s="92">
        <v>319</v>
      </c>
      <c r="I7" s="92">
        <v>1030</v>
      </c>
      <c r="J7" s="76"/>
      <c r="K7" s="76"/>
      <c r="L7" s="92">
        <v>199</v>
      </c>
      <c r="M7" s="92">
        <v>294</v>
      </c>
      <c r="N7" s="92">
        <v>-21</v>
      </c>
      <c r="O7" s="56">
        <v>9</v>
      </c>
      <c r="P7" s="56"/>
      <c r="Q7" s="56"/>
      <c r="R7" s="145">
        <v>-5.39</v>
      </c>
      <c r="S7" s="145">
        <v>-29.56</v>
      </c>
      <c r="T7" s="56">
        <v>-471.14</v>
      </c>
      <c r="U7" s="56">
        <v>235.21</v>
      </c>
      <c r="V7" s="56">
        <v>-425</v>
      </c>
      <c r="W7" s="56">
        <v>-1643</v>
      </c>
      <c r="X7" s="56">
        <v>923</v>
      </c>
      <c r="Y7" s="56">
        <v>-1681</v>
      </c>
      <c r="Z7" s="56">
        <v>-858</v>
      </c>
      <c r="AA7" s="56">
        <v>-2415</v>
      </c>
      <c r="AB7" s="56">
        <v>-39.18</v>
      </c>
      <c r="AC7" s="56">
        <v>-51.55</v>
      </c>
      <c r="AD7" s="56">
        <v>-310</v>
      </c>
      <c r="AE7" s="56">
        <v>-1029</v>
      </c>
      <c r="AF7" s="56">
        <v>-12.63</v>
      </c>
      <c r="AG7" s="92">
        <v>-151.99</v>
      </c>
      <c r="AH7" s="9"/>
      <c r="AI7" s="9"/>
      <c r="AJ7" s="76"/>
      <c r="AK7" s="76"/>
      <c r="AL7" s="92">
        <v>3928.85</v>
      </c>
      <c r="AM7" s="92">
        <v>1267.57</v>
      </c>
      <c r="AN7" s="92"/>
      <c r="AO7" s="92"/>
      <c r="AP7" s="92">
        <v>0</v>
      </c>
      <c r="AQ7" s="92">
        <v>1</v>
      </c>
      <c r="AR7" s="9">
        <v>41</v>
      </c>
      <c r="AS7" s="9">
        <v>-356</v>
      </c>
      <c r="AT7" s="92">
        <v>-99</v>
      </c>
      <c r="AU7" s="92">
        <v>-70</v>
      </c>
      <c r="AV7" s="92">
        <v>-1533</v>
      </c>
      <c r="AW7" s="92">
        <v>-2639</v>
      </c>
      <c r="AX7" s="92">
        <v>27</v>
      </c>
      <c r="AY7" s="92">
        <v>76</v>
      </c>
      <c r="AZ7" s="9"/>
      <c r="BA7" s="9"/>
      <c r="BB7" s="92">
        <v>-2476</v>
      </c>
      <c r="BC7" s="92">
        <v>-4262</v>
      </c>
      <c r="BD7" s="92">
        <v>4726</v>
      </c>
      <c r="BE7" s="92">
        <v>9599</v>
      </c>
      <c r="BF7" s="92">
        <v>1258</v>
      </c>
      <c r="BG7" s="92">
        <v>-558</v>
      </c>
      <c r="BH7" s="92">
        <v>-81</v>
      </c>
      <c r="BI7" s="92">
        <v>-3262</v>
      </c>
      <c r="BJ7" s="92">
        <v>49</v>
      </c>
      <c r="BK7" s="92">
        <v>142</v>
      </c>
      <c r="BL7" s="67">
        <f t="shared" ref="BL7:BL8" si="0">B7+D7+F7+H7+J7+L7+N7+P7+R7+T7+V7+X7+Z7+AB7+AD7+AF7+AH7+AJ7+AL7+AN7+AP7+AR7+AT7+AV7+AX7+AZ7+BB7+BD7+BF7+BH7+BJ7</f>
        <v>5139.51</v>
      </c>
      <c r="BM7" s="67">
        <f t="shared" ref="BM7:BM8" si="1">C7+E7+G7+I7+K7+M7+O7+Q7+S7+U7+W7+Y7+AA7+AC7+AE7+AG7+AI7+AK7+AM7+AO7+AQ7+AS7+AU7+AW7+AY7+BA7+BC7+BE7+BG7+BI7+BK7</f>
        <v>-5494.32</v>
      </c>
    </row>
    <row r="8" spans="1:65" x14ac:dyDescent="0.25">
      <c r="A8" s="2" t="s">
        <v>218</v>
      </c>
      <c r="B8" s="92">
        <v>-9574</v>
      </c>
      <c r="C8" s="92">
        <v>-32596</v>
      </c>
      <c r="D8" s="76">
        <v>-5781</v>
      </c>
      <c r="E8" s="76">
        <v>-29929</v>
      </c>
      <c r="F8" s="92">
        <v>26369</v>
      </c>
      <c r="G8" s="92">
        <v>53180</v>
      </c>
      <c r="H8" s="92">
        <v>33968</v>
      </c>
      <c r="I8" s="92">
        <v>107324</v>
      </c>
      <c r="J8" s="92">
        <v>-1845</v>
      </c>
      <c r="K8" s="92">
        <v>-12386</v>
      </c>
      <c r="L8" s="92">
        <v>15716</v>
      </c>
      <c r="M8" s="92">
        <v>38541</v>
      </c>
      <c r="N8" s="92">
        <v>-14814</v>
      </c>
      <c r="O8" s="92">
        <v>-20954</v>
      </c>
      <c r="P8" s="92">
        <v>46550.68</v>
      </c>
      <c r="Q8" s="92">
        <v>40951.760000000002</v>
      </c>
      <c r="R8" s="91">
        <v>-2693.81</v>
      </c>
      <c r="S8" s="91">
        <v>-8454.02</v>
      </c>
      <c r="T8" s="92">
        <v>3790.97</v>
      </c>
      <c r="U8" s="92">
        <v>7990.6</v>
      </c>
      <c r="V8" s="92">
        <v>15287</v>
      </c>
      <c r="W8" s="92">
        <v>26331</v>
      </c>
      <c r="X8" s="92">
        <v>14339</v>
      </c>
      <c r="Y8" s="92">
        <v>56029</v>
      </c>
      <c r="Z8" s="92">
        <v>-973</v>
      </c>
      <c r="AA8" s="92">
        <v>-13962</v>
      </c>
      <c r="AB8" s="92">
        <v>-2052.1999999999998</v>
      </c>
      <c r="AC8" s="92">
        <v>-5147.1099999999997</v>
      </c>
      <c r="AD8" s="92">
        <v>-4840</v>
      </c>
      <c r="AE8" s="92">
        <v>-2811</v>
      </c>
      <c r="AF8" s="92">
        <v>2893.85</v>
      </c>
      <c r="AG8" s="92">
        <v>5724.88</v>
      </c>
      <c r="AH8" s="92">
        <v>-5845.37</v>
      </c>
      <c r="AI8" s="92">
        <v>-23770.78</v>
      </c>
      <c r="AJ8" s="92">
        <v>3245</v>
      </c>
      <c r="AK8" s="76">
        <v>-2388</v>
      </c>
      <c r="AL8" s="92">
        <v>-14968.82</v>
      </c>
      <c r="AM8" s="92">
        <v>-77661.14</v>
      </c>
      <c r="AN8" s="92">
        <v>-4000</v>
      </c>
      <c r="AO8" s="92">
        <v>-6976</v>
      </c>
      <c r="AP8" s="92">
        <v>-360</v>
      </c>
      <c r="AQ8" s="92">
        <v>-3424</v>
      </c>
      <c r="AR8" s="76">
        <v>19622</v>
      </c>
      <c r="AS8" s="76">
        <v>38054</v>
      </c>
      <c r="AT8" s="92">
        <v>-139</v>
      </c>
      <c r="AU8" s="92">
        <v>3202</v>
      </c>
      <c r="AV8" s="92">
        <v>-14858</v>
      </c>
      <c r="AW8" s="92">
        <v>-25644</v>
      </c>
      <c r="AX8" s="92">
        <v>19346</v>
      </c>
      <c r="AY8" s="92">
        <v>50519</v>
      </c>
      <c r="AZ8" s="92">
        <v>-82228</v>
      </c>
      <c r="BA8" s="92">
        <v>-148394</v>
      </c>
      <c r="BB8" s="92">
        <v>-304</v>
      </c>
      <c r="BC8" s="92">
        <v>33337</v>
      </c>
      <c r="BD8" s="92">
        <v>-34859</v>
      </c>
      <c r="BE8" s="92">
        <v>-108957</v>
      </c>
      <c r="BF8" s="92">
        <v>-64124</v>
      </c>
      <c r="BG8" s="92">
        <v>-198417</v>
      </c>
      <c r="BH8" s="92">
        <v>-22748</v>
      </c>
      <c r="BI8" s="92">
        <v>-114206</v>
      </c>
      <c r="BJ8" s="92">
        <v>3078</v>
      </c>
      <c r="BK8" s="92">
        <v>6987</v>
      </c>
      <c r="BL8" s="67">
        <f t="shared" si="0"/>
        <v>-82801.699999999983</v>
      </c>
      <c r="BM8" s="67">
        <f t="shared" si="1"/>
        <v>-367905.80999999994</v>
      </c>
    </row>
    <row r="9" spans="1:65" x14ac:dyDescent="0.25">
      <c r="A9" s="3" t="s">
        <v>219</v>
      </c>
      <c r="B9" s="9"/>
      <c r="C9" s="9"/>
      <c r="D9" s="9"/>
      <c r="E9" s="9"/>
      <c r="F9" s="9"/>
      <c r="G9" s="9"/>
      <c r="H9" s="9"/>
      <c r="I9" s="9"/>
      <c r="J9" s="76"/>
      <c r="K9" s="76"/>
      <c r="L9" s="9"/>
      <c r="M9" s="9"/>
      <c r="N9" s="9"/>
      <c r="O9" s="9"/>
      <c r="P9" s="9"/>
      <c r="Q9" s="9"/>
      <c r="R9" s="9"/>
      <c r="S9" s="9"/>
      <c r="T9" s="76"/>
      <c r="U9" s="76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67"/>
      <c r="BM9" s="67"/>
    </row>
    <row r="10" spans="1:65" x14ac:dyDescent="0.25">
      <c r="A10" s="2" t="s">
        <v>220</v>
      </c>
      <c r="B10" s="92">
        <v>327</v>
      </c>
      <c r="C10" s="92">
        <v>725</v>
      </c>
      <c r="D10" s="92">
        <v>583</v>
      </c>
      <c r="E10" s="92">
        <v>1668</v>
      </c>
      <c r="F10" s="92">
        <v>5022</v>
      </c>
      <c r="G10" s="92">
        <v>15400</v>
      </c>
      <c r="H10" s="92">
        <v>5803</v>
      </c>
      <c r="I10" s="92">
        <v>20411</v>
      </c>
      <c r="J10" s="92">
        <v>1577</v>
      </c>
      <c r="K10" s="92">
        <v>4802</v>
      </c>
      <c r="L10" s="92">
        <v>2442</v>
      </c>
      <c r="M10" s="92">
        <v>6646</v>
      </c>
      <c r="N10" s="92">
        <v>1703</v>
      </c>
      <c r="O10" s="92">
        <v>5358</v>
      </c>
      <c r="P10" s="92">
        <v>10774.34</v>
      </c>
      <c r="Q10" s="92">
        <v>31589.78</v>
      </c>
      <c r="R10" s="91">
        <v>85.3</v>
      </c>
      <c r="S10" s="91">
        <v>259.33999999999997</v>
      </c>
      <c r="T10" s="92">
        <v>2214.8000000000002</v>
      </c>
      <c r="U10" s="92">
        <v>6239.97</v>
      </c>
      <c r="V10" s="92">
        <v>6166</v>
      </c>
      <c r="W10" s="92">
        <v>17223</v>
      </c>
      <c r="X10" s="92">
        <v>13559</v>
      </c>
      <c r="Y10" s="92">
        <v>41395</v>
      </c>
      <c r="Z10" s="92">
        <v>4783</v>
      </c>
      <c r="AA10" s="92">
        <v>16163</v>
      </c>
      <c r="AB10" s="92">
        <v>373.63</v>
      </c>
      <c r="AC10" s="92">
        <v>1227.31</v>
      </c>
      <c r="AD10" s="92">
        <v>1626</v>
      </c>
      <c r="AE10" s="92">
        <v>4964</v>
      </c>
      <c r="AF10" s="92">
        <v>618.04</v>
      </c>
      <c r="AG10" s="92">
        <v>1905.56</v>
      </c>
      <c r="AH10" s="92">
        <v>361.25</v>
      </c>
      <c r="AI10" s="92">
        <v>942.82</v>
      </c>
      <c r="AJ10" s="92">
        <v>1080</v>
      </c>
      <c r="AK10" s="92">
        <v>2757</v>
      </c>
      <c r="AL10" s="92">
        <v>973.22</v>
      </c>
      <c r="AM10" s="92">
        <v>3049.07</v>
      </c>
      <c r="AN10" s="92">
        <v>375</v>
      </c>
      <c r="AO10" s="92">
        <v>1174</v>
      </c>
      <c r="AP10" s="92">
        <v>258</v>
      </c>
      <c r="AQ10" s="92">
        <v>925</v>
      </c>
      <c r="AR10" s="76">
        <v>4353</v>
      </c>
      <c r="AS10" s="76">
        <v>11712</v>
      </c>
      <c r="AT10" s="92">
        <v>2277</v>
      </c>
      <c r="AU10" s="92">
        <v>6690</v>
      </c>
      <c r="AV10" s="92">
        <v>3229</v>
      </c>
      <c r="AW10" s="92">
        <v>9588</v>
      </c>
      <c r="AX10" s="92">
        <v>3028</v>
      </c>
      <c r="AY10" s="92">
        <v>8005</v>
      </c>
      <c r="AZ10" s="92">
        <v>7209</v>
      </c>
      <c r="BA10" s="92">
        <v>17771</v>
      </c>
      <c r="BB10" s="92">
        <v>5274</v>
      </c>
      <c r="BC10" s="92">
        <v>15881</v>
      </c>
      <c r="BD10" s="92">
        <v>27046</v>
      </c>
      <c r="BE10" s="92">
        <v>88249</v>
      </c>
      <c r="BF10" s="92">
        <v>-1840</v>
      </c>
      <c r="BG10" s="92">
        <v>2222</v>
      </c>
      <c r="BH10" s="92">
        <v>4130</v>
      </c>
      <c r="BI10" s="92">
        <v>14483</v>
      </c>
      <c r="BJ10" s="92">
        <v>1566</v>
      </c>
      <c r="BK10" s="92">
        <v>4513</v>
      </c>
      <c r="BL10" s="67">
        <f t="shared" ref="BL10:BL16" si="2">B10+D10+F10+H10+J10+L10+N10+P10+R10+T10+V10+X10+Z10+AB10+AD10+AF10+AH10+AJ10+AL10+AN10+AP10+AR10+AT10+AV10+AX10+AZ10+BB10+BD10+BF10+BH10+BJ10</f>
        <v>116976.58</v>
      </c>
      <c r="BM10" s="67">
        <f t="shared" ref="BM10:BM16" si="3">C10+E10+G10+I10+K10+M10+O10+Q10+S10+U10+W10+Y10+AA10+AC10+AE10+AG10+AI10+AK10+AM10+AO10+AQ10+AS10+AU10+AW10+AY10+BA10+BC10+BE10+BG10+BI10+BK10</f>
        <v>363938.85</v>
      </c>
    </row>
    <row r="11" spans="1:65" x14ac:dyDescent="0.25">
      <c r="A11" s="2" t="s">
        <v>221</v>
      </c>
      <c r="B11" s="92">
        <v>20</v>
      </c>
      <c r="C11" s="92">
        <v>71</v>
      </c>
      <c r="D11" s="92">
        <v>58</v>
      </c>
      <c r="E11" s="92">
        <v>371</v>
      </c>
      <c r="F11" s="92">
        <v>17</v>
      </c>
      <c r="G11" s="92">
        <v>478</v>
      </c>
      <c r="H11" s="92">
        <v>2325</v>
      </c>
      <c r="I11" s="92">
        <v>12874</v>
      </c>
      <c r="J11" s="92">
        <v>81</v>
      </c>
      <c r="K11" s="92">
        <v>106</v>
      </c>
      <c r="L11" s="92">
        <v>196</v>
      </c>
      <c r="M11" s="92">
        <v>880</v>
      </c>
      <c r="N11" s="92">
        <v>2</v>
      </c>
      <c r="O11" s="92">
        <v>768</v>
      </c>
      <c r="P11" s="92">
        <v>1091.54</v>
      </c>
      <c r="Q11" s="92">
        <v>4729.8599999999997</v>
      </c>
      <c r="R11" s="91">
        <v>74.959999999999994</v>
      </c>
      <c r="S11" s="91">
        <v>421.67</v>
      </c>
      <c r="T11" s="92">
        <v>356.94</v>
      </c>
      <c r="U11" s="92">
        <v>758.48</v>
      </c>
      <c r="V11" s="92">
        <v>1270</v>
      </c>
      <c r="W11" s="92">
        <v>5376</v>
      </c>
      <c r="X11" s="92">
        <v>3045</v>
      </c>
      <c r="Y11" s="92">
        <v>14079</v>
      </c>
      <c r="Z11" s="92">
        <v>3588</v>
      </c>
      <c r="AA11" s="92">
        <v>5150</v>
      </c>
      <c r="AB11" s="92">
        <v>10.44</v>
      </c>
      <c r="AC11" s="92">
        <v>105.08</v>
      </c>
      <c r="AD11" s="92">
        <v>52</v>
      </c>
      <c r="AE11" s="92">
        <v>163</v>
      </c>
      <c r="AF11" s="92">
        <v>88.36</v>
      </c>
      <c r="AG11" s="92">
        <v>176.85</v>
      </c>
      <c r="AH11" s="92">
        <v>7.38</v>
      </c>
      <c r="AI11" s="92">
        <v>151.26</v>
      </c>
      <c r="AJ11" s="92">
        <v>25</v>
      </c>
      <c r="AK11" s="92">
        <v>70</v>
      </c>
      <c r="AL11" s="92">
        <v>384.32</v>
      </c>
      <c r="AM11" s="92">
        <v>1459.6</v>
      </c>
      <c r="AN11" s="92">
        <v>28</v>
      </c>
      <c r="AO11" s="92">
        <v>235</v>
      </c>
      <c r="AP11" s="92">
        <v>-1</v>
      </c>
      <c r="AQ11" s="92">
        <v>10</v>
      </c>
      <c r="AR11" s="76">
        <v>802</v>
      </c>
      <c r="AS11" s="76">
        <v>1786</v>
      </c>
      <c r="AT11" s="92">
        <v>538</v>
      </c>
      <c r="AU11" s="92">
        <v>2023</v>
      </c>
      <c r="AV11" s="92">
        <v>4296</v>
      </c>
      <c r="AW11" s="92">
        <v>12501</v>
      </c>
      <c r="AX11" s="92">
        <v>2512</v>
      </c>
      <c r="AY11" s="92">
        <v>2933</v>
      </c>
      <c r="AZ11" s="92">
        <v>1833</v>
      </c>
      <c r="BA11" s="92">
        <v>6934</v>
      </c>
      <c r="BB11" s="92">
        <v>958</v>
      </c>
      <c r="BC11" s="92">
        <v>5361</v>
      </c>
      <c r="BD11" s="92">
        <v>33675</v>
      </c>
      <c r="BE11" s="92">
        <v>75443</v>
      </c>
      <c r="BF11" s="92">
        <v>-723</v>
      </c>
      <c r="BG11" s="92">
        <v>797</v>
      </c>
      <c r="BH11" s="92">
        <v>1880</v>
      </c>
      <c r="BI11" s="92">
        <v>4547</v>
      </c>
      <c r="BJ11" s="92">
        <v>291</v>
      </c>
      <c r="BK11" s="92">
        <v>612</v>
      </c>
      <c r="BL11" s="67">
        <f t="shared" si="2"/>
        <v>58781.94</v>
      </c>
      <c r="BM11" s="67">
        <f t="shared" si="3"/>
        <v>161370.79999999999</v>
      </c>
    </row>
    <row r="12" spans="1:65" x14ac:dyDescent="0.25">
      <c r="A12" s="2" t="s">
        <v>222</v>
      </c>
      <c r="B12" s="92">
        <v>-4</v>
      </c>
      <c r="C12" s="92">
        <v>-18</v>
      </c>
      <c r="D12" s="76"/>
      <c r="E12" s="76"/>
      <c r="F12" s="9"/>
      <c r="G12" s="9"/>
      <c r="H12" s="92">
        <v>-107</v>
      </c>
      <c r="I12" s="92">
        <v>-478</v>
      </c>
      <c r="J12" s="9"/>
      <c r="K12" s="9"/>
      <c r="L12" s="92"/>
      <c r="M12" s="92"/>
      <c r="N12" s="76"/>
      <c r="O12" s="92">
        <v>-20</v>
      </c>
      <c r="P12" s="76"/>
      <c r="Q12" s="76"/>
      <c r="R12" s="91">
        <v>-175.81</v>
      </c>
      <c r="S12" s="91">
        <v>-183.98</v>
      </c>
      <c r="T12" s="91">
        <v>-0.05</v>
      </c>
      <c r="U12" s="92">
        <v>-1.58</v>
      </c>
      <c r="V12" s="92">
        <v>-82</v>
      </c>
      <c r="W12" s="92">
        <v>-2684</v>
      </c>
      <c r="X12" s="92">
        <v>-3</v>
      </c>
      <c r="Y12" s="92">
        <v>-715</v>
      </c>
      <c r="Z12" s="76"/>
      <c r="AA12" s="76"/>
      <c r="AB12" s="92">
        <v>-9.81</v>
      </c>
      <c r="AC12" s="92">
        <v>-27.09</v>
      </c>
      <c r="AD12" s="76"/>
      <c r="AE12" s="76"/>
      <c r="AF12" s="92">
        <v>0.15</v>
      </c>
      <c r="AG12" s="92">
        <v>-3.76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>
        <v>-57</v>
      </c>
      <c r="AS12" s="9">
        <v>-71</v>
      </c>
      <c r="AT12" s="92"/>
      <c r="AU12" s="92">
        <v>-210</v>
      </c>
      <c r="AV12" s="92">
        <v>-317</v>
      </c>
      <c r="AW12" s="92">
        <v>-1161</v>
      </c>
      <c r="AX12" s="9"/>
      <c r="AY12" s="9"/>
      <c r="AZ12" s="9"/>
      <c r="BA12" s="9"/>
      <c r="BB12" s="92">
        <v>-52</v>
      </c>
      <c r="BC12" s="92">
        <v>-230</v>
      </c>
      <c r="BD12" s="9"/>
      <c r="BE12" s="9"/>
      <c r="BF12" s="9"/>
      <c r="BG12" s="9"/>
      <c r="BH12" s="9"/>
      <c r="BI12" s="9"/>
      <c r="BJ12" s="92">
        <v>-2</v>
      </c>
      <c r="BK12" s="92">
        <v>-8</v>
      </c>
      <c r="BL12" s="67">
        <f t="shared" si="2"/>
        <v>-809.52</v>
      </c>
      <c r="BM12" s="67">
        <f t="shared" si="3"/>
        <v>-5811.41</v>
      </c>
    </row>
    <row r="13" spans="1:65" ht="15" customHeight="1" x14ac:dyDescent="0.25">
      <c r="A13" s="2" t="s">
        <v>223</v>
      </c>
      <c r="B13" s="9"/>
      <c r="C13" s="9"/>
      <c r="D13" s="92">
        <v>-82</v>
      </c>
      <c r="E13" s="92">
        <v>-208</v>
      </c>
      <c r="F13" s="92">
        <v>1728</v>
      </c>
      <c r="G13" s="92">
        <v>1838</v>
      </c>
      <c r="H13" s="92">
        <v>-466</v>
      </c>
      <c r="I13" s="92">
        <v>-1440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2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67">
        <f t="shared" si="2"/>
        <v>1180</v>
      </c>
      <c r="BM13" s="67">
        <f t="shared" si="3"/>
        <v>190</v>
      </c>
    </row>
    <row r="14" spans="1:65" x14ac:dyDescent="0.25">
      <c r="A14" s="9" t="s">
        <v>224</v>
      </c>
      <c r="B14" s="9"/>
      <c r="C14" s="9"/>
      <c r="D14" s="9"/>
      <c r="E14" s="9"/>
      <c r="F14" s="76"/>
      <c r="G14" s="76"/>
      <c r="H14" s="92"/>
      <c r="I14" s="92"/>
      <c r="J14" s="92">
        <v>-100</v>
      </c>
      <c r="K14" s="92">
        <v>-298</v>
      </c>
      <c r="L14" s="9"/>
      <c r="M14" s="9"/>
      <c r="N14" s="9"/>
      <c r="O14" s="9"/>
      <c r="P14" s="9"/>
      <c r="Q14" s="9"/>
      <c r="R14" s="91">
        <v>11.93</v>
      </c>
      <c r="S14" s="91">
        <v>46.68</v>
      </c>
      <c r="T14" s="9">
        <v>-29.17</v>
      </c>
      <c r="U14" s="9">
        <v>-111.85</v>
      </c>
      <c r="V14" s="92">
        <v>-349</v>
      </c>
      <c r="W14" s="92">
        <v>-1056</v>
      </c>
      <c r="X14" s="9">
        <v>-320</v>
      </c>
      <c r="Y14" s="9">
        <v>-861</v>
      </c>
      <c r="Z14" s="92">
        <v>138</v>
      </c>
      <c r="AA14" s="9">
        <v>-205</v>
      </c>
      <c r="AB14" s="92">
        <v>-40.32</v>
      </c>
      <c r="AC14" s="92">
        <v>-185.1</v>
      </c>
      <c r="AD14" s="92">
        <v>-122</v>
      </c>
      <c r="AE14" s="92">
        <v>-380</v>
      </c>
      <c r="AF14" s="92">
        <v>-43.85</v>
      </c>
      <c r="AG14" s="92">
        <v>-125.36</v>
      </c>
      <c r="AH14" s="92">
        <v>71.599999999999994</v>
      </c>
      <c r="AI14" s="92">
        <v>215.29</v>
      </c>
      <c r="AJ14" s="9">
        <v>-58</v>
      </c>
      <c r="AK14" s="9">
        <v>-73</v>
      </c>
      <c r="AL14" s="9"/>
      <c r="AM14" s="9"/>
      <c r="AN14" s="9"/>
      <c r="AO14" s="9"/>
      <c r="AP14" s="9">
        <v>-28</v>
      </c>
      <c r="AQ14" s="9">
        <v>-88</v>
      </c>
      <c r="AR14" s="9">
        <v>-221</v>
      </c>
      <c r="AS14" s="9">
        <v>-522</v>
      </c>
      <c r="AT14" s="92">
        <v>-203</v>
      </c>
      <c r="AU14" s="92">
        <v>-494</v>
      </c>
      <c r="AV14" s="92">
        <v>-98</v>
      </c>
      <c r="AW14" s="92">
        <v>-397</v>
      </c>
      <c r="AX14" s="76"/>
      <c r="AY14" s="76"/>
      <c r="AZ14" s="9">
        <v>212</v>
      </c>
      <c r="BA14" s="9">
        <v>558</v>
      </c>
      <c r="BB14" s="9">
        <v>7</v>
      </c>
      <c r="BC14" s="9">
        <v>18</v>
      </c>
      <c r="BD14" s="92">
        <v>-584</v>
      </c>
      <c r="BE14" s="92">
        <v>-1827</v>
      </c>
      <c r="BF14" s="9"/>
      <c r="BG14" s="9"/>
      <c r="BH14" s="9"/>
      <c r="BI14" s="9"/>
      <c r="BJ14" s="92">
        <v>-158</v>
      </c>
      <c r="BK14" s="92">
        <v>-472</v>
      </c>
      <c r="BL14" s="67">
        <f t="shared" si="2"/>
        <v>-1913.81</v>
      </c>
      <c r="BM14" s="67">
        <f t="shared" si="3"/>
        <v>-6257.34</v>
      </c>
    </row>
    <row r="15" spans="1:65" s="7" customFormat="1" x14ac:dyDescent="0.25">
      <c r="A15" s="3" t="s">
        <v>225</v>
      </c>
      <c r="B15" s="10">
        <f>B16-B14-B13-B12-B11-B10-B8-B7-B6</f>
        <v>0</v>
      </c>
      <c r="C15" s="10">
        <f t="shared" ref="C15:AE15" si="4">C16-C14-C13-C12-C11-C10-C8-C7-C6</f>
        <v>0</v>
      </c>
      <c r="D15" s="10">
        <f t="shared" si="4"/>
        <v>0</v>
      </c>
      <c r="E15" s="10">
        <f t="shared" si="4"/>
        <v>0</v>
      </c>
      <c r="F15" s="10">
        <f t="shared" si="4"/>
        <v>21</v>
      </c>
      <c r="G15" s="10">
        <f t="shared" si="4"/>
        <v>66</v>
      </c>
      <c r="H15" s="10">
        <f t="shared" si="4"/>
        <v>0</v>
      </c>
      <c r="I15" s="10">
        <f t="shared" si="4"/>
        <v>8</v>
      </c>
      <c r="J15" s="10">
        <f t="shared" si="4"/>
        <v>0</v>
      </c>
      <c r="K15" s="10">
        <f t="shared" si="4"/>
        <v>15</v>
      </c>
      <c r="L15" s="10">
        <f t="shared" si="4"/>
        <v>0</v>
      </c>
      <c r="M15" s="10">
        <f t="shared" si="4"/>
        <v>0</v>
      </c>
      <c r="N15" s="10">
        <f t="shared" si="4"/>
        <v>5</v>
      </c>
      <c r="O15" s="10">
        <f t="shared" si="4"/>
        <v>4</v>
      </c>
      <c r="P15" s="10">
        <f t="shared" si="4"/>
        <v>115.99999999999272</v>
      </c>
      <c r="Q15" s="10">
        <f t="shared" si="4"/>
        <v>574.21999999999389</v>
      </c>
      <c r="R15" s="131">
        <f t="shared" si="4"/>
        <v>0.34999999999978115</v>
      </c>
      <c r="S15" s="131">
        <f t="shared" si="4"/>
        <v>0.34999999999979536</v>
      </c>
      <c r="T15" s="10">
        <f t="shared" si="4"/>
        <v>-9.9999999988540367E-3</v>
      </c>
      <c r="U15" s="10">
        <f t="shared" si="4"/>
        <v>1.999999999964075E-2</v>
      </c>
      <c r="V15" s="10">
        <f t="shared" si="4"/>
        <v>-1</v>
      </c>
      <c r="W15" s="10">
        <f t="shared" si="4"/>
        <v>-1</v>
      </c>
      <c r="X15" s="10">
        <f t="shared" si="4"/>
        <v>217</v>
      </c>
      <c r="Y15" s="10">
        <f t="shared" si="4"/>
        <v>218</v>
      </c>
      <c r="Z15" s="10">
        <f t="shared" si="4"/>
        <v>59</v>
      </c>
      <c r="AA15" s="10">
        <f t="shared" si="4"/>
        <v>113</v>
      </c>
      <c r="AB15" s="10">
        <f t="shared" si="4"/>
        <v>16.289999999999509</v>
      </c>
      <c r="AC15" s="10">
        <f t="shared" si="4"/>
        <v>19.919999999999561</v>
      </c>
      <c r="AD15" s="10">
        <f t="shared" si="4"/>
        <v>0</v>
      </c>
      <c r="AE15" s="10">
        <f t="shared" si="4"/>
        <v>0</v>
      </c>
      <c r="AF15" s="10">
        <f t="shared" ref="AF15:BK15" si="5">AF16-AF14-AF13-AF12-AF11-AF10-AF8-AF7-AF6</f>
        <v>1.9999999999754436E-2</v>
      </c>
      <c r="AG15" s="10">
        <f t="shared" si="5"/>
        <v>2.6699999999991633</v>
      </c>
      <c r="AH15" s="10">
        <f t="shared" si="5"/>
        <v>-1.0000000000218279E-2</v>
      </c>
      <c r="AI15" s="10">
        <f t="shared" si="5"/>
        <v>0</v>
      </c>
      <c r="AJ15" s="10">
        <f t="shared" si="5"/>
        <v>5</v>
      </c>
      <c r="AK15" s="10">
        <f t="shared" si="5"/>
        <v>713</v>
      </c>
      <c r="AL15" s="10">
        <f t="shared" si="5"/>
        <v>281.78000000000111</v>
      </c>
      <c r="AM15" s="10">
        <f t="shared" si="5"/>
        <v>1674.1999999999823</v>
      </c>
      <c r="AN15" s="10">
        <f t="shared" si="5"/>
        <v>1</v>
      </c>
      <c r="AO15" s="10">
        <f t="shared" si="5"/>
        <v>0</v>
      </c>
      <c r="AP15" s="10">
        <f t="shared" si="5"/>
        <v>1</v>
      </c>
      <c r="AQ15" s="10">
        <f t="shared" si="5"/>
        <v>26</v>
      </c>
      <c r="AR15" s="10">
        <f t="shared" si="5"/>
        <v>1627</v>
      </c>
      <c r="AS15" s="10">
        <f t="shared" si="5"/>
        <v>2346</v>
      </c>
      <c r="AT15" s="10">
        <f t="shared" si="5"/>
        <v>1</v>
      </c>
      <c r="AU15" s="10">
        <f t="shared" si="5"/>
        <v>2</v>
      </c>
      <c r="AV15" s="10">
        <f t="shared" si="5"/>
        <v>41</v>
      </c>
      <c r="AW15" s="10">
        <f t="shared" si="5"/>
        <v>1211</v>
      </c>
      <c r="AX15" s="10">
        <f t="shared" si="5"/>
        <v>-70</v>
      </c>
      <c r="AY15" s="10">
        <f t="shared" si="5"/>
        <v>-227</v>
      </c>
      <c r="AZ15" s="10">
        <f t="shared" si="5"/>
        <v>5</v>
      </c>
      <c r="BA15" s="10">
        <f t="shared" si="5"/>
        <v>694</v>
      </c>
      <c r="BB15" s="10">
        <f t="shared" si="5"/>
        <v>67</v>
      </c>
      <c r="BC15" s="10">
        <f t="shared" si="5"/>
        <v>145</v>
      </c>
      <c r="BD15" s="10">
        <f t="shared" si="5"/>
        <v>354</v>
      </c>
      <c r="BE15" s="10">
        <f t="shared" si="5"/>
        <v>3875</v>
      </c>
      <c r="BF15" s="10">
        <f t="shared" si="5"/>
        <v>3381</v>
      </c>
      <c r="BG15" s="10">
        <f t="shared" si="5"/>
        <v>4430</v>
      </c>
      <c r="BH15" s="10">
        <f t="shared" si="5"/>
        <v>49</v>
      </c>
      <c r="BI15" s="10">
        <f t="shared" si="5"/>
        <v>202</v>
      </c>
      <c r="BJ15" s="10">
        <f t="shared" si="5"/>
        <v>-1</v>
      </c>
      <c r="BK15" s="10">
        <f t="shared" si="5"/>
        <v>0</v>
      </c>
      <c r="BL15" s="63">
        <f t="shared" si="2"/>
        <v>6176.4199999999937</v>
      </c>
      <c r="BM15" s="63">
        <f t="shared" si="3"/>
        <v>16111.379999999976</v>
      </c>
    </row>
    <row r="16" spans="1:65" s="7" customFormat="1" x14ac:dyDescent="0.25">
      <c r="A16" s="3" t="s">
        <v>25</v>
      </c>
      <c r="B16" s="10">
        <v>-9232</v>
      </c>
      <c r="C16" s="10">
        <v>-31820</v>
      </c>
      <c r="D16" s="10">
        <v>-5222</v>
      </c>
      <c r="E16" s="10">
        <v>-28098</v>
      </c>
      <c r="F16" s="10">
        <v>33157</v>
      </c>
      <c r="G16" s="10">
        <v>70962</v>
      </c>
      <c r="H16" s="10">
        <v>41670</v>
      </c>
      <c r="I16" s="10">
        <v>146970</v>
      </c>
      <c r="J16" s="10">
        <v>-287</v>
      </c>
      <c r="K16" s="10">
        <v>-7761</v>
      </c>
      <c r="L16" s="10">
        <v>22843</v>
      </c>
      <c r="M16" s="10">
        <v>52079</v>
      </c>
      <c r="N16" s="10">
        <v>-14379</v>
      </c>
      <c r="O16" s="10">
        <v>-19392</v>
      </c>
      <c r="P16" s="10">
        <v>58532.56</v>
      </c>
      <c r="Q16" s="10">
        <v>77845.62</v>
      </c>
      <c r="R16" s="131">
        <v>-2816.19</v>
      </c>
      <c r="S16" s="131">
        <v>-8110.07</v>
      </c>
      <c r="T16" s="10">
        <v>6435.02</v>
      </c>
      <c r="U16" s="10">
        <v>14635.73</v>
      </c>
      <c r="V16" s="10">
        <v>24344</v>
      </c>
      <c r="W16" s="10">
        <v>46282</v>
      </c>
      <c r="X16" s="10">
        <v>43805</v>
      </c>
      <c r="Y16" s="10">
        <v>132555</v>
      </c>
      <c r="Z16" s="10">
        <v>10334</v>
      </c>
      <c r="AA16" s="10">
        <v>11290</v>
      </c>
      <c r="AB16" s="10">
        <v>-1621.47</v>
      </c>
      <c r="AC16" s="10">
        <v>-3660.39</v>
      </c>
      <c r="AD16" s="10">
        <v>-2756</v>
      </c>
      <c r="AE16" s="10">
        <v>2266</v>
      </c>
      <c r="AF16" s="10">
        <v>2374.1999999999998</v>
      </c>
      <c r="AG16" s="10">
        <v>4496.8999999999996</v>
      </c>
      <c r="AH16" s="10">
        <v>-5405.15</v>
      </c>
      <c r="AI16" s="10">
        <v>-22461.41</v>
      </c>
      <c r="AJ16" s="10">
        <v>4297</v>
      </c>
      <c r="AK16" s="10">
        <v>1079</v>
      </c>
      <c r="AL16" s="10">
        <v>-7235.16</v>
      </c>
      <c r="AM16" s="10">
        <v>-68296.88</v>
      </c>
      <c r="AN16" s="10">
        <v>-3524</v>
      </c>
      <c r="AO16" s="10">
        <v>-5010</v>
      </c>
      <c r="AP16" s="10">
        <v>-216</v>
      </c>
      <c r="AQ16" s="10">
        <v>-3049</v>
      </c>
      <c r="AR16" s="10">
        <v>31153</v>
      </c>
      <c r="AS16" s="10">
        <v>64232</v>
      </c>
      <c r="AT16" s="10">
        <v>3761</v>
      </c>
      <c r="AU16" s="10">
        <v>15161</v>
      </c>
      <c r="AV16" s="10">
        <v>-2947</v>
      </c>
      <c r="AW16" s="10">
        <v>15150</v>
      </c>
      <c r="AX16" s="10">
        <v>25613</v>
      </c>
      <c r="AY16" s="10">
        <v>63341</v>
      </c>
      <c r="AZ16" s="10">
        <v>-72969</v>
      </c>
      <c r="BA16" s="10">
        <v>-122437</v>
      </c>
      <c r="BB16" s="10">
        <v>8787</v>
      </c>
      <c r="BC16" s="10">
        <v>51130</v>
      </c>
      <c r="BD16" s="10">
        <v>68937</v>
      </c>
      <c r="BE16" s="10">
        <v>111742</v>
      </c>
      <c r="BF16" s="10">
        <v>-69418</v>
      </c>
      <c r="BG16" s="10">
        <v>-195493</v>
      </c>
      <c r="BH16" s="10">
        <v>-20001</v>
      </c>
      <c r="BI16" s="10">
        <v>-110682</v>
      </c>
      <c r="BJ16" s="10">
        <v>5466</v>
      </c>
      <c r="BK16" s="10">
        <v>13832</v>
      </c>
      <c r="BL16" s="63">
        <f t="shared" si="2"/>
        <v>173479.81000000003</v>
      </c>
      <c r="BM16" s="63">
        <f t="shared" si="3"/>
        <v>268778.5</v>
      </c>
    </row>
    <row r="17" spans="1:65" x14ac:dyDescent="0.25">
      <c r="A17" s="3" t="s">
        <v>226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6"/>
      <c r="U17" s="76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66"/>
      <c r="BM17" s="66"/>
    </row>
    <row r="18" spans="1:65" x14ac:dyDescent="0.25">
      <c r="A18" s="2" t="s">
        <v>227</v>
      </c>
      <c r="B18" s="9"/>
      <c r="C18" s="9"/>
      <c r="D18" s="76">
        <v>-1</v>
      </c>
      <c r="E18" s="76">
        <v>-184</v>
      </c>
      <c r="F18" s="9"/>
      <c r="G18" s="9"/>
      <c r="H18" s="92"/>
      <c r="I18" s="92">
        <v>-14351</v>
      </c>
      <c r="J18" s="76"/>
      <c r="K18" s="76"/>
      <c r="L18" s="92">
        <v>-49</v>
      </c>
      <c r="M18" s="92">
        <v>-296</v>
      </c>
      <c r="N18" s="9"/>
      <c r="O18" s="9"/>
      <c r="P18" s="76"/>
      <c r="Q18" s="76"/>
      <c r="R18" s="76"/>
      <c r="S18" s="91">
        <v>-70.8</v>
      </c>
      <c r="T18" s="92">
        <v>1.17</v>
      </c>
      <c r="U18" s="92">
        <v>-1845.95</v>
      </c>
      <c r="V18" s="76"/>
      <c r="W18" s="92">
        <v>-2968</v>
      </c>
      <c r="X18" s="92">
        <v>-66</v>
      </c>
      <c r="Y18" s="92">
        <v>-3398</v>
      </c>
      <c r="Z18" s="9"/>
      <c r="AA18" s="9">
        <v>-1515</v>
      </c>
      <c r="AB18" s="9"/>
      <c r="AC18" s="9"/>
      <c r="AD18" s="76"/>
      <c r="AE18" s="76"/>
      <c r="AF18" s="92"/>
      <c r="AG18" s="92">
        <v>-1621.39</v>
      </c>
      <c r="AH18" s="76"/>
      <c r="AI18" s="76"/>
      <c r="AJ18" s="92">
        <v>-999</v>
      </c>
      <c r="AK18" s="92">
        <v>-1998</v>
      </c>
      <c r="AL18" s="92">
        <v>-4.51</v>
      </c>
      <c r="AM18" s="92">
        <v>-9.33</v>
      </c>
      <c r="AN18" s="9"/>
      <c r="AO18" s="92">
        <v>-171</v>
      </c>
      <c r="AP18" s="9"/>
      <c r="AQ18" s="9"/>
      <c r="AR18" s="9">
        <v>737</v>
      </c>
      <c r="AS18" s="9">
        <v>1537</v>
      </c>
      <c r="AT18" s="9"/>
      <c r="AU18" s="9"/>
      <c r="AV18" s="76"/>
      <c r="AW18" s="76"/>
      <c r="AX18" s="9"/>
      <c r="AY18" s="9"/>
      <c r="AZ18" s="9"/>
      <c r="BA18" s="9"/>
      <c r="BB18" s="9"/>
      <c r="BC18" s="9"/>
      <c r="BD18" s="92">
        <v>-1</v>
      </c>
      <c r="BE18" s="92">
        <v>-2</v>
      </c>
      <c r="BF18" s="92">
        <v>9</v>
      </c>
      <c r="BG18" s="92">
        <v>-3</v>
      </c>
      <c r="BH18" s="92">
        <v>140</v>
      </c>
      <c r="BI18" s="92">
        <v>-46</v>
      </c>
      <c r="BJ18" s="92">
        <v>700</v>
      </c>
      <c r="BK18" s="92">
        <v>700</v>
      </c>
      <c r="BL18" s="67">
        <f t="shared" ref="BL18:BL25" si="6">B18+D18+F18+H18+J18+L18+N18+P18+R18+T18+V18+X18+Z18+AB18+AD18+AF18+AH18+AJ18+AL18+AN18+AP18+AR18+AT18+AV18+AX18+AZ18+BB18+BD18+BF18+BH18+BJ18</f>
        <v>466.66000000000008</v>
      </c>
      <c r="BM18" s="67">
        <f t="shared" ref="BM18:BM25" si="7">C18+E18+G18+I18+K18+M18+O18+Q18+S18+U18+W18+Y18+AA18+AC18+AE18+AG18+AI18+AK18+AM18+AO18+AQ18+AS18+AU18+AW18+AY18+BA18+BC18+BE18+BG18+BI18+BK18</f>
        <v>-26242.47</v>
      </c>
    </row>
    <row r="19" spans="1:65" x14ac:dyDescent="0.25">
      <c r="A19" s="2" t="s">
        <v>228</v>
      </c>
      <c r="B19" s="9"/>
      <c r="C19" s="9"/>
      <c r="D19" s="9"/>
      <c r="E19" s="9"/>
      <c r="F19" s="9"/>
      <c r="G19" s="9"/>
      <c r="H19" s="92">
        <v>89</v>
      </c>
      <c r="I19" s="92">
        <v>-37</v>
      </c>
      <c r="J19" s="76"/>
      <c r="K19" s="76"/>
      <c r="L19" s="76"/>
      <c r="M19" s="92">
        <v>-349</v>
      </c>
      <c r="N19" s="9"/>
      <c r="O19" s="9"/>
      <c r="P19" s="91">
        <v>-0.13</v>
      </c>
      <c r="Q19" s="91">
        <v>0.2</v>
      </c>
      <c r="R19" s="76"/>
      <c r="S19" s="76"/>
      <c r="T19" s="92">
        <v>-5</v>
      </c>
      <c r="U19" s="92">
        <v>16.46</v>
      </c>
      <c r="V19" s="76"/>
      <c r="W19" s="76"/>
      <c r="X19" s="92">
        <v>47</v>
      </c>
      <c r="Y19" s="92">
        <v>-256</v>
      </c>
      <c r="Z19" s="9"/>
      <c r="AA19" s="9"/>
      <c r="AB19" s="9"/>
      <c r="AC19" s="9"/>
      <c r="AD19" s="76"/>
      <c r="AE19" s="76"/>
      <c r="AF19" s="92">
        <v>0.78</v>
      </c>
      <c r="AG19" s="92">
        <v>34.71</v>
      </c>
      <c r="AH19" s="92">
        <v>1.06</v>
      </c>
      <c r="AI19" s="92">
        <v>8.4700000000000006</v>
      </c>
      <c r="AJ19" s="92">
        <v>1060</v>
      </c>
      <c r="AK19" s="92">
        <v>2189</v>
      </c>
      <c r="AL19" s="92">
        <v>652.13</v>
      </c>
      <c r="AM19" s="92">
        <v>-6698.57</v>
      </c>
      <c r="AN19" s="9"/>
      <c r="AO19" s="92">
        <v>223</v>
      </c>
      <c r="AP19" s="9"/>
      <c r="AQ19" s="9"/>
      <c r="AR19" s="9">
        <v>8591</v>
      </c>
      <c r="AS19" s="9">
        <v>8800</v>
      </c>
      <c r="AT19" s="92"/>
      <c r="AU19" s="92">
        <v>-790</v>
      </c>
      <c r="AV19" s="76"/>
      <c r="AW19" s="76"/>
      <c r="AX19" s="76"/>
      <c r="AY19" s="9">
        <v>1</v>
      </c>
      <c r="AZ19" s="76">
        <v>230</v>
      </c>
      <c r="BA19" s="76">
        <v>235</v>
      </c>
      <c r="BB19" s="92">
        <v>75</v>
      </c>
      <c r="BC19" s="92">
        <v>-57</v>
      </c>
      <c r="BD19" s="92">
        <v>-285</v>
      </c>
      <c r="BE19" s="92">
        <v>-1400</v>
      </c>
      <c r="BF19" s="92">
        <v>-271</v>
      </c>
      <c r="BG19" s="92"/>
      <c r="BH19" s="92">
        <v>423</v>
      </c>
      <c r="BI19" s="92">
        <v>1227</v>
      </c>
      <c r="BJ19" s="9"/>
      <c r="BK19" s="9"/>
      <c r="BL19" s="67">
        <f t="shared" si="6"/>
        <v>10607.84</v>
      </c>
      <c r="BM19" s="67">
        <f t="shared" si="7"/>
        <v>3147.2700000000004</v>
      </c>
    </row>
    <row r="20" spans="1:65" x14ac:dyDescent="0.25">
      <c r="A20" s="2" t="s">
        <v>47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76"/>
      <c r="AE20" s="76"/>
      <c r="AF20" s="92">
        <v>-0.27</v>
      </c>
      <c r="AG20" s="92">
        <v>-1.06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2"/>
      <c r="AU20" s="92">
        <v>-4000</v>
      </c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2">
        <v>-57</v>
      </c>
      <c r="BG20" s="92">
        <v>79</v>
      </c>
      <c r="BH20" s="9"/>
      <c r="BI20" s="9"/>
      <c r="BJ20" s="9"/>
      <c r="BK20" s="9"/>
      <c r="BL20" s="67">
        <f t="shared" si="6"/>
        <v>-57.27</v>
      </c>
      <c r="BM20" s="67">
        <f t="shared" si="7"/>
        <v>-3922.06</v>
      </c>
    </row>
    <row r="21" spans="1:65" s="7" customFormat="1" x14ac:dyDescent="0.25">
      <c r="A21" s="3" t="s">
        <v>229</v>
      </c>
      <c r="B21" s="10">
        <f>B22-B20-B19-B18</f>
        <v>72</v>
      </c>
      <c r="C21" s="10">
        <f t="shared" ref="C21:AE21" si="8">C22-C20-C19-C18</f>
        <v>110</v>
      </c>
      <c r="D21" s="10">
        <f t="shared" si="8"/>
        <v>54</v>
      </c>
      <c r="E21" s="10">
        <f t="shared" si="8"/>
        <v>283</v>
      </c>
      <c r="F21" s="10">
        <f t="shared" si="8"/>
        <v>1720</v>
      </c>
      <c r="G21" s="10">
        <f t="shared" si="8"/>
        <v>2146</v>
      </c>
      <c r="H21" s="10">
        <f t="shared" si="8"/>
        <v>915</v>
      </c>
      <c r="I21" s="10">
        <f t="shared" si="8"/>
        <v>15615</v>
      </c>
      <c r="J21" s="10">
        <f t="shared" si="8"/>
        <v>169</v>
      </c>
      <c r="K21" s="10">
        <f t="shared" si="8"/>
        <v>518</v>
      </c>
      <c r="L21" s="10">
        <f t="shared" si="8"/>
        <v>20445</v>
      </c>
      <c r="M21" s="10">
        <f t="shared" si="8"/>
        <v>44494</v>
      </c>
      <c r="N21" s="10">
        <f t="shared" si="8"/>
        <v>134</v>
      </c>
      <c r="O21" s="10">
        <f t="shared" si="8"/>
        <v>260</v>
      </c>
      <c r="P21" s="10">
        <f t="shared" si="8"/>
        <v>97.509999999999991</v>
      </c>
      <c r="Q21" s="10">
        <f t="shared" si="8"/>
        <v>203.18</v>
      </c>
      <c r="R21" s="131">
        <f t="shared" si="8"/>
        <v>44.1</v>
      </c>
      <c r="S21" s="131">
        <f t="shared" si="8"/>
        <v>145.31</v>
      </c>
      <c r="T21" s="10">
        <f t="shared" si="8"/>
        <v>7.2200000000000006</v>
      </c>
      <c r="U21" s="10">
        <f t="shared" si="8"/>
        <v>3350.1</v>
      </c>
      <c r="V21" s="10">
        <f t="shared" si="8"/>
        <v>1603</v>
      </c>
      <c r="W21" s="10">
        <f t="shared" si="8"/>
        <v>6091</v>
      </c>
      <c r="X21" s="10">
        <f t="shared" si="8"/>
        <v>1728</v>
      </c>
      <c r="Y21" s="10">
        <f t="shared" si="8"/>
        <v>8902</v>
      </c>
      <c r="Z21" s="10">
        <f t="shared" si="8"/>
        <v>193</v>
      </c>
      <c r="AA21" s="10">
        <f t="shared" si="8"/>
        <v>1817</v>
      </c>
      <c r="AB21" s="10">
        <f t="shared" si="8"/>
        <v>66.3</v>
      </c>
      <c r="AC21" s="10">
        <f t="shared" si="8"/>
        <v>79.8</v>
      </c>
      <c r="AD21" s="10">
        <f t="shared" si="8"/>
        <v>156</v>
      </c>
      <c r="AE21" s="10">
        <f t="shared" si="8"/>
        <v>473</v>
      </c>
      <c r="AF21" s="10">
        <f t="shared" ref="AF21:BK21" si="9">AF22-AF20-AF19-AF18</f>
        <v>4969.0300000000007</v>
      </c>
      <c r="AG21" s="10">
        <f t="shared" si="9"/>
        <v>6137.7300000000005</v>
      </c>
      <c r="AH21" s="10">
        <f t="shared" si="9"/>
        <v>385.5</v>
      </c>
      <c r="AI21" s="10">
        <f t="shared" si="9"/>
        <v>750.55</v>
      </c>
      <c r="AJ21" s="10">
        <f t="shared" si="9"/>
        <v>8615</v>
      </c>
      <c r="AK21" s="10">
        <f t="shared" si="9"/>
        <v>15756</v>
      </c>
      <c r="AL21" s="10">
        <f t="shared" si="9"/>
        <v>1918.93</v>
      </c>
      <c r="AM21" s="10">
        <f t="shared" si="9"/>
        <v>6310.1799999999994</v>
      </c>
      <c r="AN21" s="10">
        <f t="shared" si="9"/>
        <v>-40</v>
      </c>
      <c r="AO21" s="10">
        <f t="shared" si="9"/>
        <v>0</v>
      </c>
      <c r="AP21" s="10">
        <f t="shared" si="9"/>
        <v>1925</v>
      </c>
      <c r="AQ21" s="10">
        <f t="shared" si="9"/>
        <v>4785</v>
      </c>
      <c r="AR21" s="10">
        <f t="shared" si="9"/>
        <v>14312</v>
      </c>
      <c r="AS21" s="10">
        <f t="shared" si="9"/>
        <v>22501</v>
      </c>
      <c r="AT21" s="10">
        <f t="shared" si="9"/>
        <v>438</v>
      </c>
      <c r="AU21" s="10">
        <f t="shared" si="9"/>
        <v>3881</v>
      </c>
      <c r="AV21" s="10">
        <f t="shared" si="9"/>
        <v>626</v>
      </c>
      <c r="AW21" s="10">
        <f t="shared" si="9"/>
        <v>1568</v>
      </c>
      <c r="AX21" s="10">
        <f t="shared" si="9"/>
        <v>475</v>
      </c>
      <c r="AY21" s="10">
        <f t="shared" si="9"/>
        <v>1435</v>
      </c>
      <c r="AZ21" s="10">
        <f t="shared" si="9"/>
        <v>3625</v>
      </c>
      <c r="BA21" s="10">
        <f t="shared" si="9"/>
        <v>5415</v>
      </c>
      <c r="BB21" s="10">
        <f t="shared" si="9"/>
        <v>1552</v>
      </c>
      <c r="BC21" s="10">
        <f t="shared" si="9"/>
        <v>3762</v>
      </c>
      <c r="BD21" s="10">
        <f t="shared" si="9"/>
        <v>10482</v>
      </c>
      <c r="BE21" s="10">
        <f t="shared" si="9"/>
        <v>31311</v>
      </c>
      <c r="BF21" s="10">
        <f t="shared" si="9"/>
        <v>1923</v>
      </c>
      <c r="BG21" s="10">
        <f t="shared" si="9"/>
        <v>5990</v>
      </c>
      <c r="BH21" s="10">
        <f t="shared" si="9"/>
        <v>2188</v>
      </c>
      <c r="BI21" s="10">
        <f t="shared" si="9"/>
        <v>7538</v>
      </c>
      <c r="BJ21" s="10">
        <f t="shared" si="9"/>
        <v>107</v>
      </c>
      <c r="BK21" s="10">
        <f t="shared" si="9"/>
        <v>986</v>
      </c>
      <c r="BL21" s="63">
        <f t="shared" si="6"/>
        <v>80905.59</v>
      </c>
      <c r="BM21" s="63">
        <f t="shared" si="7"/>
        <v>202613.84999999998</v>
      </c>
    </row>
    <row r="22" spans="1:65" s="7" customFormat="1" x14ac:dyDescent="0.25">
      <c r="A22" s="3" t="s">
        <v>29</v>
      </c>
      <c r="B22" s="10">
        <v>72</v>
      </c>
      <c r="C22" s="10">
        <v>110</v>
      </c>
      <c r="D22" s="10">
        <v>53</v>
      </c>
      <c r="E22" s="10">
        <v>99</v>
      </c>
      <c r="F22" s="10">
        <v>1720</v>
      </c>
      <c r="G22" s="10">
        <v>2146</v>
      </c>
      <c r="H22" s="10">
        <v>1004</v>
      </c>
      <c r="I22" s="10">
        <v>1227</v>
      </c>
      <c r="J22" s="10">
        <v>169</v>
      </c>
      <c r="K22" s="10">
        <v>518</v>
      </c>
      <c r="L22" s="10">
        <v>20396</v>
      </c>
      <c r="M22" s="10">
        <v>43849</v>
      </c>
      <c r="N22" s="10">
        <v>134</v>
      </c>
      <c r="O22" s="10">
        <v>260</v>
      </c>
      <c r="P22" s="131">
        <v>97.38</v>
      </c>
      <c r="Q22" s="131">
        <v>203.38</v>
      </c>
      <c r="R22" s="131">
        <v>44.1</v>
      </c>
      <c r="S22" s="131">
        <v>74.510000000000005</v>
      </c>
      <c r="T22" s="10">
        <v>3.39</v>
      </c>
      <c r="U22" s="10">
        <v>1520.61</v>
      </c>
      <c r="V22" s="10">
        <v>1603</v>
      </c>
      <c r="W22" s="10">
        <v>3123</v>
      </c>
      <c r="X22" s="10">
        <v>1709</v>
      </c>
      <c r="Y22" s="10">
        <v>5248</v>
      </c>
      <c r="Z22" s="10">
        <v>193</v>
      </c>
      <c r="AA22" s="10">
        <v>302</v>
      </c>
      <c r="AB22" s="10">
        <v>66.3</v>
      </c>
      <c r="AC22" s="10">
        <v>79.8</v>
      </c>
      <c r="AD22" s="10">
        <v>156</v>
      </c>
      <c r="AE22" s="10">
        <v>473</v>
      </c>
      <c r="AF22" s="10">
        <v>4969.54</v>
      </c>
      <c r="AG22" s="10">
        <v>4549.99</v>
      </c>
      <c r="AH22" s="10">
        <v>386.56</v>
      </c>
      <c r="AI22" s="10">
        <v>759.02</v>
      </c>
      <c r="AJ22" s="10">
        <v>8676</v>
      </c>
      <c r="AK22" s="10">
        <v>15947</v>
      </c>
      <c r="AL22" s="10">
        <v>2566.5500000000002</v>
      </c>
      <c r="AM22" s="10">
        <v>-397.72</v>
      </c>
      <c r="AN22" s="10">
        <v>-40</v>
      </c>
      <c r="AO22" s="10">
        <v>52</v>
      </c>
      <c r="AP22" s="10">
        <v>1925</v>
      </c>
      <c r="AQ22" s="10">
        <v>4785</v>
      </c>
      <c r="AR22" s="10">
        <v>23640</v>
      </c>
      <c r="AS22" s="10">
        <v>32838</v>
      </c>
      <c r="AT22" s="10">
        <v>438</v>
      </c>
      <c r="AU22" s="10">
        <v>-909</v>
      </c>
      <c r="AV22" s="10">
        <v>626</v>
      </c>
      <c r="AW22" s="10">
        <v>1568</v>
      </c>
      <c r="AX22" s="10">
        <v>475</v>
      </c>
      <c r="AY22" s="10">
        <v>1436</v>
      </c>
      <c r="AZ22" s="10">
        <v>3855</v>
      </c>
      <c r="BA22" s="10">
        <v>5650</v>
      </c>
      <c r="BB22" s="10">
        <v>1627</v>
      </c>
      <c r="BC22" s="10">
        <v>3705</v>
      </c>
      <c r="BD22" s="10">
        <v>10196</v>
      </c>
      <c r="BE22" s="10">
        <v>29909</v>
      </c>
      <c r="BF22" s="10">
        <v>1604</v>
      </c>
      <c r="BG22" s="10">
        <v>6066</v>
      </c>
      <c r="BH22" s="10">
        <v>2751</v>
      </c>
      <c r="BI22" s="10">
        <v>8719</v>
      </c>
      <c r="BJ22" s="10">
        <v>807</v>
      </c>
      <c r="BK22" s="10">
        <v>1686</v>
      </c>
      <c r="BL22" s="63">
        <f t="shared" si="6"/>
        <v>91922.82</v>
      </c>
      <c r="BM22" s="63">
        <f t="shared" si="7"/>
        <v>175596.59</v>
      </c>
    </row>
    <row r="23" spans="1:65" s="7" customFormat="1" x14ac:dyDescent="0.25">
      <c r="A23" s="3" t="s">
        <v>230</v>
      </c>
      <c r="B23" s="10">
        <f>B16-B22</f>
        <v>-9304</v>
      </c>
      <c r="C23" s="10">
        <f t="shared" ref="C23:AF23" si="10">C16-C22</f>
        <v>-31930</v>
      </c>
      <c r="D23" s="10">
        <f t="shared" si="10"/>
        <v>-5275</v>
      </c>
      <c r="E23" s="10">
        <f t="shared" si="10"/>
        <v>-28197</v>
      </c>
      <c r="F23" s="10">
        <f t="shared" si="10"/>
        <v>31437</v>
      </c>
      <c r="G23" s="10">
        <f t="shared" si="10"/>
        <v>68816</v>
      </c>
      <c r="H23" s="10">
        <f t="shared" si="10"/>
        <v>40666</v>
      </c>
      <c r="I23" s="10">
        <f t="shared" si="10"/>
        <v>145743</v>
      </c>
      <c r="J23" s="10">
        <f t="shared" si="10"/>
        <v>-456</v>
      </c>
      <c r="K23" s="10">
        <f t="shared" si="10"/>
        <v>-8279</v>
      </c>
      <c r="L23" s="10">
        <f t="shared" si="10"/>
        <v>2447</v>
      </c>
      <c r="M23" s="10">
        <f t="shared" si="10"/>
        <v>8230</v>
      </c>
      <c r="N23" s="10">
        <f t="shared" si="10"/>
        <v>-14513</v>
      </c>
      <c r="O23" s="10">
        <f t="shared" si="10"/>
        <v>-19652</v>
      </c>
      <c r="P23" s="10">
        <f t="shared" si="10"/>
        <v>58435.18</v>
      </c>
      <c r="Q23" s="10">
        <f t="shared" si="10"/>
        <v>77642.239999999991</v>
      </c>
      <c r="R23" s="131">
        <f t="shared" si="10"/>
        <v>-2860.29</v>
      </c>
      <c r="S23" s="131">
        <f t="shared" si="10"/>
        <v>-8184.58</v>
      </c>
      <c r="T23" s="10">
        <f t="shared" si="10"/>
        <v>6431.63</v>
      </c>
      <c r="U23" s="10">
        <f t="shared" si="10"/>
        <v>13115.119999999999</v>
      </c>
      <c r="V23" s="10">
        <f t="shared" si="10"/>
        <v>22741</v>
      </c>
      <c r="W23" s="10">
        <f t="shared" si="10"/>
        <v>43159</v>
      </c>
      <c r="X23" s="10">
        <f t="shared" si="10"/>
        <v>42096</v>
      </c>
      <c r="Y23" s="10">
        <f t="shared" si="10"/>
        <v>127307</v>
      </c>
      <c r="Z23" s="10">
        <f t="shared" si="10"/>
        <v>10141</v>
      </c>
      <c r="AA23" s="10">
        <f t="shared" si="10"/>
        <v>10988</v>
      </c>
      <c r="AB23" s="10">
        <f t="shared" si="10"/>
        <v>-1687.77</v>
      </c>
      <c r="AC23" s="10">
        <f t="shared" si="10"/>
        <v>-3740.19</v>
      </c>
      <c r="AD23" s="10">
        <f t="shared" si="10"/>
        <v>-2912</v>
      </c>
      <c r="AE23" s="10">
        <f t="shared" si="10"/>
        <v>1793</v>
      </c>
      <c r="AF23" s="10">
        <f t="shared" si="10"/>
        <v>-2595.34</v>
      </c>
      <c r="AG23" s="10">
        <f t="shared" ref="AG23:BK23" si="11">AG16-AG22</f>
        <v>-53.090000000000146</v>
      </c>
      <c r="AH23" s="10">
        <f t="shared" si="11"/>
        <v>-5791.71</v>
      </c>
      <c r="AI23" s="10">
        <f t="shared" si="11"/>
        <v>-23220.43</v>
      </c>
      <c r="AJ23" s="10">
        <f t="shared" si="11"/>
        <v>-4379</v>
      </c>
      <c r="AK23" s="10">
        <f t="shared" si="11"/>
        <v>-14868</v>
      </c>
      <c r="AL23" s="10">
        <f t="shared" si="11"/>
        <v>-9801.7099999999991</v>
      </c>
      <c r="AM23" s="10">
        <f t="shared" si="11"/>
        <v>-67899.16</v>
      </c>
      <c r="AN23" s="10">
        <f t="shared" si="11"/>
        <v>-3484</v>
      </c>
      <c r="AO23" s="10">
        <f t="shared" si="11"/>
        <v>-5062</v>
      </c>
      <c r="AP23" s="10">
        <f t="shared" si="11"/>
        <v>-2141</v>
      </c>
      <c r="AQ23" s="10">
        <f t="shared" si="11"/>
        <v>-7834</v>
      </c>
      <c r="AR23" s="10">
        <f t="shared" si="11"/>
        <v>7513</v>
      </c>
      <c r="AS23" s="10">
        <f t="shared" si="11"/>
        <v>31394</v>
      </c>
      <c r="AT23" s="10">
        <f t="shared" si="11"/>
        <v>3323</v>
      </c>
      <c r="AU23" s="10">
        <f t="shared" si="11"/>
        <v>16070</v>
      </c>
      <c r="AV23" s="10">
        <f t="shared" si="11"/>
        <v>-3573</v>
      </c>
      <c r="AW23" s="10">
        <f t="shared" si="11"/>
        <v>13582</v>
      </c>
      <c r="AX23" s="10">
        <f t="shared" si="11"/>
        <v>25138</v>
      </c>
      <c r="AY23" s="10">
        <f t="shared" si="11"/>
        <v>61905</v>
      </c>
      <c r="AZ23" s="10">
        <f t="shared" si="11"/>
        <v>-76824</v>
      </c>
      <c r="BA23" s="10">
        <f t="shared" si="11"/>
        <v>-128087</v>
      </c>
      <c r="BB23" s="10">
        <f t="shared" si="11"/>
        <v>7160</v>
      </c>
      <c r="BC23" s="10">
        <f t="shared" si="11"/>
        <v>47425</v>
      </c>
      <c r="BD23" s="10">
        <f t="shared" si="11"/>
        <v>58741</v>
      </c>
      <c r="BE23" s="10">
        <f t="shared" si="11"/>
        <v>81833</v>
      </c>
      <c r="BF23" s="10">
        <f t="shared" si="11"/>
        <v>-71022</v>
      </c>
      <c r="BG23" s="10">
        <f t="shared" si="11"/>
        <v>-201559</v>
      </c>
      <c r="BH23" s="10">
        <f t="shared" si="11"/>
        <v>-22752</v>
      </c>
      <c r="BI23" s="10">
        <f t="shared" si="11"/>
        <v>-119401</v>
      </c>
      <c r="BJ23" s="10">
        <f t="shared" si="11"/>
        <v>4659</v>
      </c>
      <c r="BK23" s="10">
        <f t="shared" si="11"/>
        <v>12146</v>
      </c>
      <c r="BL23" s="63">
        <f t="shared" si="6"/>
        <v>81556.990000000049</v>
      </c>
      <c r="BM23" s="63">
        <f t="shared" si="7"/>
        <v>93181.910000000033</v>
      </c>
    </row>
    <row r="24" spans="1:65" x14ac:dyDescent="0.25">
      <c r="A24" s="2" t="s">
        <v>232</v>
      </c>
      <c r="B24" s="9"/>
      <c r="C24" s="9"/>
      <c r="D24" s="9"/>
      <c r="E24" s="9"/>
      <c r="F24" s="92">
        <v>4607</v>
      </c>
      <c r="G24" s="92">
        <v>14561</v>
      </c>
      <c r="H24" s="92">
        <v>10303</v>
      </c>
      <c r="I24" s="92">
        <v>36628</v>
      </c>
      <c r="J24" s="92">
        <v>-189</v>
      </c>
      <c r="K24" s="92">
        <v>-2264</v>
      </c>
      <c r="L24" s="92">
        <v>646</v>
      </c>
      <c r="M24" s="92">
        <v>2069</v>
      </c>
      <c r="N24" s="9"/>
      <c r="O24" s="9"/>
      <c r="P24" s="9">
        <f>115.63+8500+15.28</f>
        <v>8630.91</v>
      </c>
      <c r="Q24" s="9">
        <f>10000+23.14</f>
        <v>10023.14</v>
      </c>
      <c r="R24" s="91"/>
      <c r="S24" s="91"/>
      <c r="T24" s="76">
        <f>1587.81+137.59</f>
        <v>1725.3999999999999</v>
      </c>
      <c r="U24" s="76">
        <f>3237.67+280.57</f>
        <v>3518.2400000000002</v>
      </c>
      <c r="V24" s="9">
        <f>438+5249</f>
        <v>5687</v>
      </c>
      <c r="W24" s="92">
        <f>9998+831</f>
        <v>10829</v>
      </c>
      <c r="X24" s="9">
        <f>11219-876</f>
        <v>10343</v>
      </c>
      <c r="Y24" s="9">
        <f>34463-3006</f>
        <v>31457</v>
      </c>
      <c r="Z24" s="9">
        <f>1978+252</f>
        <v>2230</v>
      </c>
      <c r="AA24" s="9">
        <f>1978-110</f>
        <v>1868</v>
      </c>
      <c r="AB24" s="9"/>
      <c r="AC24" s="9"/>
      <c r="AD24" s="9"/>
      <c r="AE24" s="9"/>
      <c r="AF24" s="92">
        <v>-653.19000000000005</v>
      </c>
      <c r="AG24" s="92">
        <v>-13.35</v>
      </c>
      <c r="AH24" s="9"/>
      <c r="AI24" s="9"/>
      <c r="AJ24" s="76"/>
      <c r="AK24" s="76"/>
      <c r="AL24" s="92">
        <v>4.24</v>
      </c>
      <c r="AM24" s="92">
        <v>4.24</v>
      </c>
      <c r="AN24" s="9"/>
      <c r="AO24" s="9"/>
      <c r="AP24" s="9">
        <v>16</v>
      </c>
      <c r="AQ24" s="9">
        <v>-1</v>
      </c>
      <c r="AR24" s="9">
        <f>1213+1479</f>
        <v>2692</v>
      </c>
      <c r="AS24" s="76">
        <f>6106+5555</f>
        <v>11661</v>
      </c>
      <c r="AT24" s="92">
        <v>808</v>
      </c>
      <c r="AU24" s="92">
        <v>4038</v>
      </c>
      <c r="AV24" s="9">
        <f>-1476+185+318</f>
        <v>-973</v>
      </c>
      <c r="AW24" s="9">
        <f>3216-8+318</f>
        <v>3526</v>
      </c>
      <c r="AX24" s="92">
        <v>6490</v>
      </c>
      <c r="AY24" s="92">
        <v>15167</v>
      </c>
      <c r="AZ24" s="9">
        <v>-18988</v>
      </c>
      <c r="BA24" s="9">
        <v>-32224</v>
      </c>
      <c r="BB24" s="9">
        <f>170+1593</f>
        <v>1763</v>
      </c>
      <c r="BC24" s="9">
        <f>12551-837</f>
        <v>11714</v>
      </c>
      <c r="BD24" s="9">
        <f>9867-223</f>
        <v>9644</v>
      </c>
      <c r="BE24" s="9">
        <f>12280-1209</f>
        <v>11071</v>
      </c>
      <c r="BF24" s="9"/>
      <c r="BG24" s="92">
        <v>-3171</v>
      </c>
      <c r="BH24" s="9"/>
      <c r="BI24" s="9"/>
      <c r="BJ24" s="9">
        <f>1384-173</f>
        <v>1211</v>
      </c>
      <c r="BK24" s="9">
        <f>3563-375</f>
        <v>3188</v>
      </c>
      <c r="BL24" s="67">
        <f t="shared" si="6"/>
        <v>45997.359999999993</v>
      </c>
      <c r="BM24" s="67">
        <f t="shared" si="7"/>
        <v>133649.27000000002</v>
      </c>
    </row>
    <row r="25" spans="1:65" s="7" customFormat="1" x14ac:dyDescent="0.25">
      <c r="A25" s="3" t="s">
        <v>231</v>
      </c>
      <c r="B25" s="10">
        <f>B23-B24</f>
        <v>-9304</v>
      </c>
      <c r="C25" s="10">
        <f t="shared" ref="C25:AF25" si="12">C23-C24</f>
        <v>-31930</v>
      </c>
      <c r="D25" s="10">
        <f t="shared" si="12"/>
        <v>-5275</v>
      </c>
      <c r="E25" s="10">
        <f t="shared" si="12"/>
        <v>-28197</v>
      </c>
      <c r="F25" s="10">
        <f t="shared" si="12"/>
        <v>26830</v>
      </c>
      <c r="G25" s="10">
        <f t="shared" si="12"/>
        <v>54255</v>
      </c>
      <c r="H25" s="10">
        <f t="shared" si="12"/>
        <v>30363</v>
      </c>
      <c r="I25" s="10">
        <f t="shared" si="12"/>
        <v>109115</v>
      </c>
      <c r="J25" s="10">
        <f t="shared" si="12"/>
        <v>-267</v>
      </c>
      <c r="K25" s="10">
        <f t="shared" si="12"/>
        <v>-6015</v>
      </c>
      <c r="L25" s="10">
        <f t="shared" si="12"/>
        <v>1801</v>
      </c>
      <c r="M25" s="10">
        <f t="shared" si="12"/>
        <v>6161</v>
      </c>
      <c r="N25" s="10">
        <f t="shared" si="12"/>
        <v>-14513</v>
      </c>
      <c r="O25" s="10">
        <f t="shared" si="12"/>
        <v>-19652</v>
      </c>
      <c r="P25" s="10">
        <f t="shared" si="12"/>
        <v>49804.270000000004</v>
      </c>
      <c r="Q25" s="10">
        <f t="shared" si="12"/>
        <v>67619.099999999991</v>
      </c>
      <c r="R25" s="131">
        <f t="shared" si="12"/>
        <v>-2860.29</v>
      </c>
      <c r="S25" s="131">
        <f t="shared" si="12"/>
        <v>-8184.58</v>
      </c>
      <c r="T25" s="10">
        <f t="shared" si="12"/>
        <v>4706.2300000000005</v>
      </c>
      <c r="U25" s="10">
        <f t="shared" si="12"/>
        <v>9596.8799999999992</v>
      </c>
      <c r="V25" s="10">
        <f t="shared" si="12"/>
        <v>17054</v>
      </c>
      <c r="W25" s="10">
        <f t="shared" si="12"/>
        <v>32330</v>
      </c>
      <c r="X25" s="10">
        <f t="shared" si="12"/>
        <v>31753</v>
      </c>
      <c r="Y25" s="10">
        <f t="shared" si="12"/>
        <v>95850</v>
      </c>
      <c r="Z25" s="10">
        <f t="shared" si="12"/>
        <v>7911</v>
      </c>
      <c r="AA25" s="10">
        <f t="shared" si="12"/>
        <v>9120</v>
      </c>
      <c r="AB25" s="10">
        <f t="shared" si="12"/>
        <v>-1687.77</v>
      </c>
      <c r="AC25" s="10">
        <f t="shared" si="12"/>
        <v>-3740.19</v>
      </c>
      <c r="AD25" s="10">
        <f t="shared" si="12"/>
        <v>-2912</v>
      </c>
      <c r="AE25" s="10">
        <f t="shared" si="12"/>
        <v>1793</v>
      </c>
      <c r="AF25" s="10">
        <f t="shared" si="12"/>
        <v>-1942.15</v>
      </c>
      <c r="AG25" s="10">
        <f t="shared" ref="AG25:BK25" si="13">AG23-AG24</f>
        <v>-39.740000000000144</v>
      </c>
      <c r="AH25" s="10">
        <f t="shared" si="13"/>
        <v>-5791.71</v>
      </c>
      <c r="AI25" s="10">
        <f t="shared" si="13"/>
        <v>-23220.43</v>
      </c>
      <c r="AJ25" s="10">
        <f t="shared" si="13"/>
        <v>-4379</v>
      </c>
      <c r="AK25" s="10">
        <f t="shared" si="13"/>
        <v>-14868</v>
      </c>
      <c r="AL25" s="10">
        <f t="shared" si="13"/>
        <v>-9805.9499999999989</v>
      </c>
      <c r="AM25" s="10">
        <f t="shared" si="13"/>
        <v>-67903.400000000009</v>
      </c>
      <c r="AN25" s="10">
        <f t="shared" si="13"/>
        <v>-3484</v>
      </c>
      <c r="AO25" s="10">
        <f t="shared" si="13"/>
        <v>-5062</v>
      </c>
      <c r="AP25" s="10">
        <f t="shared" si="13"/>
        <v>-2157</v>
      </c>
      <c r="AQ25" s="10">
        <f t="shared" si="13"/>
        <v>-7833</v>
      </c>
      <c r="AR25" s="10">
        <f t="shared" si="13"/>
        <v>4821</v>
      </c>
      <c r="AS25" s="10">
        <f t="shared" si="13"/>
        <v>19733</v>
      </c>
      <c r="AT25" s="10">
        <f t="shared" si="13"/>
        <v>2515</v>
      </c>
      <c r="AU25" s="10">
        <f t="shared" si="13"/>
        <v>12032</v>
      </c>
      <c r="AV25" s="10">
        <f t="shared" si="13"/>
        <v>-2600</v>
      </c>
      <c r="AW25" s="10">
        <f t="shared" si="13"/>
        <v>10056</v>
      </c>
      <c r="AX25" s="10">
        <f t="shared" si="13"/>
        <v>18648</v>
      </c>
      <c r="AY25" s="10">
        <f t="shared" si="13"/>
        <v>46738</v>
      </c>
      <c r="AZ25" s="10">
        <f t="shared" si="13"/>
        <v>-57836</v>
      </c>
      <c r="BA25" s="10">
        <f t="shared" si="13"/>
        <v>-95863</v>
      </c>
      <c r="BB25" s="10">
        <f t="shared" si="13"/>
        <v>5397</v>
      </c>
      <c r="BC25" s="10">
        <f t="shared" si="13"/>
        <v>35711</v>
      </c>
      <c r="BD25" s="10">
        <f t="shared" si="13"/>
        <v>49097</v>
      </c>
      <c r="BE25" s="10">
        <f t="shared" si="13"/>
        <v>70762</v>
      </c>
      <c r="BF25" s="10">
        <f t="shared" si="13"/>
        <v>-71022</v>
      </c>
      <c r="BG25" s="10">
        <f t="shared" si="13"/>
        <v>-198388</v>
      </c>
      <c r="BH25" s="10">
        <f t="shared" si="13"/>
        <v>-22752</v>
      </c>
      <c r="BI25" s="10">
        <f t="shared" si="13"/>
        <v>-119401</v>
      </c>
      <c r="BJ25" s="10">
        <f t="shared" si="13"/>
        <v>3448</v>
      </c>
      <c r="BK25" s="10">
        <f t="shared" si="13"/>
        <v>8958</v>
      </c>
      <c r="BL25" s="63">
        <f t="shared" si="6"/>
        <v>35559.630000000034</v>
      </c>
      <c r="BM25" s="63">
        <f t="shared" si="7"/>
        <v>-40467.359999999986</v>
      </c>
    </row>
  </sheetData>
  <mergeCells count="32">
    <mergeCell ref="AN3:AO3"/>
    <mergeCell ref="AP3:AQ3"/>
    <mergeCell ref="AZ3:BA3"/>
    <mergeCell ref="BB3:BC3"/>
    <mergeCell ref="BL3:BM3"/>
    <mergeCell ref="BF3:BG3"/>
    <mergeCell ref="BH3:BI3"/>
    <mergeCell ref="BJ3:BK3"/>
    <mergeCell ref="BD3:BE3"/>
    <mergeCell ref="AT3:AU3"/>
    <mergeCell ref="AV3:AW3"/>
    <mergeCell ref="AX3:AY3"/>
    <mergeCell ref="AR3:AS3"/>
    <mergeCell ref="AD3:AE3"/>
    <mergeCell ref="AF3:AG3"/>
    <mergeCell ref="AH3:AI3"/>
    <mergeCell ref="AJ3:AK3"/>
    <mergeCell ref="AL3:AM3"/>
    <mergeCell ref="X3:Y3"/>
    <mergeCell ref="Z3:AA3"/>
    <mergeCell ref="AB3:AC3"/>
    <mergeCell ref="J3:K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V3:W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315</v>
      </c>
    </row>
    <row r="2" spans="1:32" x14ac:dyDescent="0.25">
      <c r="A2" s="13" t="s">
        <v>98</v>
      </c>
    </row>
    <row r="3" spans="1:32" x14ac:dyDescent="0.25">
      <c r="A3" s="27" t="s">
        <v>182</v>
      </c>
    </row>
    <row r="4" spans="1:32" x14ac:dyDescent="0.25">
      <c r="A4" s="1" t="s">
        <v>0</v>
      </c>
      <c r="B4" s="109" t="s">
        <v>1</v>
      </c>
      <c r="C4" s="109" t="s">
        <v>234</v>
      </c>
      <c r="D4" s="109" t="s">
        <v>2</v>
      </c>
      <c r="E4" s="109" t="s">
        <v>3</v>
      </c>
      <c r="F4" s="109" t="s">
        <v>243</v>
      </c>
      <c r="G4" s="109" t="s">
        <v>235</v>
      </c>
      <c r="H4" s="109" t="s">
        <v>246</v>
      </c>
      <c r="I4" s="109" t="s">
        <v>5</v>
      </c>
      <c r="J4" s="109" t="s">
        <v>4</v>
      </c>
      <c r="K4" s="109" t="s">
        <v>6</v>
      </c>
      <c r="L4" s="109" t="s">
        <v>7</v>
      </c>
      <c r="M4" s="109" t="s">
        <v>8</v>
      </c>
      <c r="N4" s="109" t="s">
        <v>9</v>
      </c>
      <c r="O4" s="109" t="s">
        <v>242</v>
      </c>
      <c r="P4" s="109" t="s">
        <v>10</v>
      </c>
      <c r="Q4" s="109" t="s">
        <v>11</v>
      </c>
      <c r="R4" s="109" t="s">
        <v>236</v>
      </c>
      <c r="S4" s="109" t="s">
        <v>245</v>
      </c>
      <c r="T4" s="109" t="s">
        <v>12</v>
      </c>
      <c r="U4" s="109" t="s">
        <v>237</v>
      </c>
      <c r="V4" s="109" t="s">
        <v>238</v>
      </c>
      <c r="W4" s="109" t="s">
        <v>241</v>
      </c>
      <c r="X4" s="109" t="s">
        <v>13</v>
      </c>
      <c r="Y4" s="109" t="s">
        <v>14</v>
      </c>
      <c r="Z4" s="109" t="s">
        <v>15</v>
      </c>
      <c r="AA4" s="109" t="s">
        <v>16</v>
      </c>
      <c r="AB4" s="109" t="s">
        <v>17</v>
      </c>
      <c r="AC4" s="108" t="s">
        <v>239</v>
      </c>
      <c r="AD4" s="108" t="s">
        <v>240</v>
      </c>
      <c r="AE4" s="108" t="s">
        <v>18</v>
      </c>
      <c r="AF4" s="109" t="s">
        <v>19</v>
      </c>
    </row>
    <row r="5" spans="1:32" x14ac:dyDescent="0.25">
      <c r="A5" s="92" t="s">
        <v>192</v>
      </c>
      <c r="B5" s="92">
        <v>2</v>
      </c>
      <c r="C5" s="92"/>
      <c r="D5" s="92"/>
      <c r="E5" s="92">
        <v>19090</v>
      </c>
      <c r="F5" s="92"/>
      <c r="G5" s="92">
        <v>11129</v>
      </c>
      <c r="H5" s="92">
        <v>3068</v>
      </c>
      <c r="I5" s="92"/>
      <c r="J5" s="92">
        <v>167.85</v>
      </c>
      <c r="K5" s="92">
        <v>11093.03</v>
      </c>
      <c r="L5" s="92">
        <v>21486</v>
      </c>
      <c r="M5" s="92">
        <v>48898</v>
      </c>
      <c r="N5" s="92">
        <v>7915</v>
      </c>
      <c r="O5">
        <v>764.29</v>
      </c>
      <c r="P5" s="92"/>
      <c r="Q5" s="92">
        <v>1842</v>
      </c>
      <c r="R5" s="92"/>
      <c r="S5" s="92"/>
      <c r="T5" s="92">
        <v>66390.259999999995</v>
      </c>
      <c r="U5" s="92">
        <v>696</v>
      </c>
      <c r="V5" s="92">
        <v>166</v>
      </c>
      <c r="W5" s="92">
        <v>26108</v>
      </c>
      <c r="X5" s="92">
        <v>4658</v>
      </c>
      <c r="Y5" s="92">
        <v>25770</v>
      </c>
      <c r="Z5" s="92">
        <v>1643</v>
      </c>
      <c r="AA5" s="92"/>
      <c r="AB5" s="92">
        <v>29954</v>
      </c>
      <c r="AC5" s="92"/>
      <c r="AD5" s="92">
        <v>59235</v>
      </c>
      <c r="AE5" s="92">
        <v>72205</v>
      </c>
      <c r="AF5" s="92">
        <v>4263</v>
      </c>
    </row>
    <row r="6" spans="1:32" x14ac:dyDescent="0.25">
      <c r="A6" s="92" t="s">
        <v>26</v>
      </c>
      <c r="B6" s="92">
        <v>2</v>
      </c>
      <c r="C6" s="92"/>
      <c r="D6" s="92"/>
      <c r="E6" s="92">
        <v>13603</v>
      </c>
      <c r="F6" s="92"/>
      <c r="G6" s="92">
        <v>5037</v>
      </c>
      <c r="H6" s="92">
        <v>2173</v>
      </c>
      <c r="I6" s="92"/>
      <c r="J6" s="92">
        <v>212.14</v>
      </c>
      <c r="K6" s="92">
        <v>9524.2000000000007</v>
      </c>
      <c r="L6" s="92">
        <v>14255</v>
      </c>
      <c r="M6" s="92">
        <v>30179</v>
      </c>
      <c r="N6" s="92">
        <v>5520</v>
      </c>
      <c r="O6" s="92">
        <v>63.41</v>
      </c>
      <c r="P6" s="92"/>
      <c r="Q6" s="92">
        <v>1137</v>
      </c>
      <c r="R6" s="92"/>
      <c r="S6" s="92"/>
      <c r="T6" s="92">
        <v>55316.77</v>
      </c>
      <c r="U6" s="92">
        <v>100</v>
      </c>
      <c r="V6" s="92">
        <v>312</v>
      </c>
      <c r="W6" s="92">
        <v>9428</v>
      </c>
      <c r="X6" s="92">
        <v>1222</v>
      </c>
      <c r="Y6" s="92">
        <v>17482</v>
      </c>
      <c r="Z6" s="92">
        <v>635</v>
      </c>
      <c r="AA6" s="92"/>
      <c r="AB6" s="92">
        <v>19586</v>
      </c>
      <c r="AC6" s="92"/>
      <c r="AD6" s="92">
        <v>39126</v>
      </c>
      <c r="AE6" s="92">
        <v>54729</v>
      </c>
      <c r="AF6" s="92">
        <v>2094</v>
      </c>
    </row>
    <row r="7" spans="1:32" x14ac:dyDescent="0.25">
      <c r="A7" s="92" t="s">
        <v>259</v>
      </c>
      <c r="B7" s="92"/>
      <c r="C7" s="92"/>
      <c r="D7" s="92"/>
      <c r="E7" s="92">
        <v>-21080</v>
      </c>
      <c r="F7" s="92"/>
      <c r="G7" s="92">
        <v>-2291</v>
      </c>
      <c r="H7" s="92">
        <v>-2086</v>
      </c>
      <c r="I7" s="92"/>
      <c r="J7" s="92">
        <v>-7.13</v>
      </c>
      <c r="K7" s="92">
        <v>-2173.6799999999998</v>
      </c>
      <c r="L7" s="92">
        <v>-8518</v>
      </c>
      <c r="M7" s="92">
        <v>-11461</v>
      </c>
      <c r="N7" s="92">
        <v>-5088</v>
      </c>
      <c r="O7" s="92">
        <v>-141.19999999999999</v>
      </c>
      <c r="P7" s="92"/>
      <c r="Q7" s="92">
        <v>-122</v>
      </c>
      <c r="R7" s="92"/>
      <c r="S7" s="92"/>
      <c r="T7" s="92">
        <v>7527.08</v>
      </c>
      <c r="U7" s="92">
        <v>134</v>
      </c>
      <c r="V7" s="92">
        <v>-15</v>
      </c>
      <c r="W7" s="92">
        <v>-1911</v>
      </c>
      <c r="X7" s="92">
        <v>-618</v>
      </c>
      <c r="Y7" s="92">
        <v>-14719</v>
      </c>
      <c r="Z7" s="92">
        <v>304</v>
      </c>
      <c r="AA7" s="92"/>
      <c r="AB7" s="92">
        <v>-7930</v>
      </c>
      <c r="AC7" s="92"/>
      <c r="AD7" s="92">
        <v>7396</v>
      </c>
      <c r="AE7" s="92">
        <v>10826</v>
      </c>
      <c r="AF7" s="92">
        <v>516</v>
      </c>
    </row>
    <row r="8" spans="1:32" x14ac:dyDescent="0.25">
      <c r="A8" s="92" t="s">
        <v>260</v>
      </c>
      <c r="B8" s="92">
        <v>2</v>
      </c>
      <c r="C8" s="92"/>
      <c r="D8" s="92"/>
      <c r="E8" s="92">
        <v>23314</v>
      </c>
      <c r="F8" s="92"/>
      <c r="G8" s="92">
        <v>5475</v>
      </c>
      <c r="H8" s="92">
        <v>8008</v>
      </c>
      <c r="I8" s="92"/>
      <c r="J8" s="92">
        <v>226.84</v>
      </c>
      <c r="K8" s="92">
        <v>8063.7</v>
      </c>
      <c r="L8" s="92">
        <v>17736</v>
      </c>
      <c r="M8" s="92">
        <v>15363</v>
      </c>
      <c r="N8" s="92">
        <v>2130</v>
      </c>
      <c r="O8">
        <v>696.64</v>
      </c>
      <c r="P8" s="92"/>
      <c r="Q8" s="92">
        <v>5433</v>
      </c>
      <c r="R8" s="92"/>
      <c r="S8" s="92"/>
      <c r="T8" s="92">
        <v>14386.23</v>
      </c>
      <c r="U8" s="92">
        <v>831</v>
      </c>
      <c r="V8" s="92">
        <v>710</v>
      </c>
      <c r="W8" s="92">
        <v>10520</v>
      </c>
      <c r="X8" s="92">
        <v>1344</v>
      </c>
      <c r="Y8" s="92">
        <v>7846</v>
      </c>
      <c r="Z8" s="92">
        <v>566</v>
      </c>
      <c r="AA8" s="92"/>
      <c r="AB8" s="92">
        <v>21882</v>
      </c>
      <c r="AC8" s="92"/>
      <c r="AD8" s="92">
        <v>28646</v>
      </c>
      <c r="AE8" s="92">
        <v>36618</v>
      </c>
      <c r="AF8" s="92">
        <v>991.26</v>
      </c>
    </row>
    <row r="9" spans="1:32" x14ac:dyDescent="0.25">
      <c r="A9" s="92" t="s">
        <v>261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2" x14ac:dyDescent="0.25">
      <c r="A10" s="92" t="s">
        <v>257</v>
      </c>
      <c r="B10" s="92">
        <f t="shared" ref="B10:K10" si="0">B5-B6-B7-B8-B9</f>
        <v>-2</v>
      </c>
      <c r="C10" s="92"/>
      <c r="D10" s="92"/>
      <c r="E10" s="92">
        <f t="shared" si="0"/>
        <v>3253</v>
      </c>
      <c r="F10" s="92"/>
      <c r="G10" s="92">
        <f t="shared" si="0"/>
        <v>2908</v>
      </c>
      <c r="H10" s="92">
        <f t="shared" si="0"/>
        <v>-5027</v>
      </c>
      <c r="I10" s="92"/>
      <c r="J10" s="92">
        <f t="shared" si="0"/>
        <v>-264</v>
      </c>
      <c r="K10" s="92">
        <f t="shared" si="0"/>
        <v>-4321.1900000000005</v>
      </c>
      <c r="L10" s="92">
        <f>L5-L6-L7-L8-L9</f>
        <v>-1987</v>
      </c>
      <c r="M10" s="92">
        <f t="shared" ref="M10:AF10" si="1">M5-M6-M7-M8-M9</f>
        <v>14817</v>
      </c>
      <c r="N10" s="92">
        <f t="shared" si="1"/>
        <v>5353</v>
      </c>
      <c r="O10" s="92">
        <f t="shared" si="1"/>
        <v>145.43999999999994</v>
      </c>
      <c r="P10" s="92">
        <f t="shared" si="1"/>
        <v>0</v>
      </c>
      <c r="Q10" s="92">
        <f t="shared" si="1"/>
        <v>-4606</v>
      </c>
      <c r="R10" s="92"/>
      <c r="S10" s="92"/>
      <c r="T10" s="92">
        <f t="shared" si="1"/>
        <v>-10839.820000000002</v>
      </c>
      <c r="U10" s="92">
        <f t="shared" si="1"/>
        <v>-369</v>
      </c>
      <c r="V10" s="92">
        <f t="shared" si="1"/>
        <v>-841</v>
      </c>
      <c r="W10" s="92">
        <f t="shared" si="1"/>
        <v>8071</v>
      </c>
      <c r="X10" s="92">
        <f t="shared" si="1"/>
        <v>2710</v>
      </c>
      <c r="Y10" s="92">
        <f t="shared" si="1"/>
        <v>15161</v>
      </c>
      <c r="Z10" s="92">
        <f t="shared" si="1"/>
        <v>138</v>
      </c>
      <c r="AA10" s="92"/>
      <c r="AB10" s="92">
        <f t="shared" si="1"/>
        <v>-3584</v>
      </c>
      <c r="AC10" s="92"/>
      <c r="AD10" s="92">
        <f t="shared" si="1"/>
        <v>-15933</v>
      </c>
      <c r="AE10" s="92">
        <f t="shared" si="1"/>
        <v>-29968</v>
      </c>
      <c r="AF10" s="92">
        <f t="shared" si="1"/>
        <v>661.74</v>
      </c>
    </row>
    <row r="11" spans="1:32" s="38" customFormat="1" x14ac:dyDescent="0.25">
      <c r="A11" s="91" t="s">
        <v>258</v>
      </c>
      <c r="B11" s="91">
        <f t="shared" ref="B11:K11" si="2">B10*100/B5</f>
        <v>-100</v>
      </c>
      <c r="C11" s="91"/>
      <c r="D11" s="91"/>
      <c r="E11" s="91">
        <f t="shared" si="2"/>
        <v>17.040335254059716</v>
      </c>
      <c r="F11" s="91"/>
      <c r="G11" s="91">
        <f t="shared" si="2"/>
        <v>26.129930811393656</v>
      </c>
      <c r="H11" s="91">
        <f t="shared" si="2"/>
        <v>-163.85267275097783</v>
      </c>
      <c r="I11" s="91"/>
      <c r="J11" s="91">
        <f t="shared" si="2"/>
        <v>-157.28328865058089</v>
      </c>
      <c r="K11" s="91">
        <f t="shared" si="2"/>
        <v>-38.954100006941296</v>
      </c>
      <c r="L11" s="91">
        <f>L10*100/L5</f>
        <v>-9.2478823419901328</v>
      </c>
      <c r="M11" s="91">
        <f t="shared" ref="M11:AF11" si="3">M10*100/M5</f>
        <v>30.301852836516829</v>
      </c>
      <c r="N11" s="91">
        <f t="shared" si="3"/>
        <v>67.631080227416305</v>
      </c>
      <c r="O11" s="91">
        <f t="shared" si="3"/>
        <v>19.029426003218667</v>
      </c>
      <c r="P11" s="91" t="e">
        <f t="shared" si="3"/>
        <v>#DIV/0!</v>
      </c>
      <c r="Q11" s="91">
        <f t="shared" si="3"/>
        <v>-250.0542888165038</v>
      </c>
      <c r="R11" s="91"/>
      <c r="S11" s="91"/>
      <c r="T11" s="91">
        <f t="shared" si="3"/>
        <v>-16.32742513736202</v>
      </c>
      <c r="U11" s="91">
        <f t="shared" si="3"/>
        <v>-53.017241379310342</v>
      </c>
      <c r="V11" s="91">
        <f t="shared" si="3"/>
        <v>-506.62650602409639</v>
      </c>
      <c r="W11" s="91">
        <f t="shared" si="3"/>
        <v>30.913896123793474</v>
      </c>
      <c r="X11" s="91">
        <f t="shared" si="3"/>
        <v>58.179476170030057</v>
      </c>
      <c r="Y11" s="91">
        <f t="shared" si="3"/>
        <v>58.831975164920451</v>
      </c>
      <c r="Z11" s="91">
        <f t="shared" si="3"/>
        <v>8.3992696287279376</v>
      </c>
      <c r="AA11" s="91"/>
      <c r="AB11" s="91">
        <f t="shared" si="3"/>
        <v>-11.965013019963944</v>
      </c>
      <c r="AC11" s="91"/>
      <c r="AD11" s="91">
        <f t="shared" si="3"/>
        <v>-26.897948847809573</v>
      </c>
      <c r="AE11" s="91">
        <f t="shared" si="3"/>
        <v>-41.504050965999582</v>
      </c>
      <c r="AF11" s="91">
        <f t="shared" si="3"/>
        <v>15.522871217452499</v>
      </c>
    </row>
    <row r="13" spans="1:32" x14ac:dyDescent="0.25">
      <c r="A13" s="27" t="s">
        <v>183</v>
      </c>
    </row>
    <row r="14" spans="1:32" x14ac:dyDescent="0.25">
      <c r="A14" s="1" t="s">
        <v>0</v>
      </c>
      <c r="B14" s="109" t="s">
        <v>1</v>
      </c>
      <c r="C14" s="109" t="s">
        <v>234</v>
      </c>
      <c r="D14" s="109" t="s">
        <v>2</v>
      </c>
      <c r="E14" s="109" t="s">
        <v>3</v>
      </c>
      <c r="F14" s="109" t="s">
        <v>243</v>
      </c>
      <c r="G14" s="109" t="s">
        <v>235</v>
      </c>
      <c r="H14" s="109" t="s">
        <v>246</v>
      </c>
      <c r="I14" s="109" t="s">
        <v>5</v>
      </c>
      <c r="J14" s="109" t="s">
        <v>4</v>
      </c>
      <c r="K14" s="109" t="s">
        <v>6</v>
      </c>
      <c r="L14" s="109" t="s">
        <v>7</v>
      </c>
      <c r="M14" s="109" t="s">
        <v>8</v>
      </c>
      <c r="N14" s="109" t="s">
        <v>9</v>
      </c>
      <c r="O14" s="109" t="s">
        <v>242</v>
      </c>
      <c r="P14" s="109" t="s">
        <v>10</v>
      </c>
      <c r="Q14" s="109" t="s">
        <v>11</v>
      </c>
      <c r="R14" s="109" t="s">
        <v>236</v>
      </c>
      <c r="S14" s="109" t="s">
        <v>245</v>
      </c>
      <c r="T14" s="109" t="s">
        <v>12</v>
      </c>
      <c r="U14" s="109" t="s">
        <v>237</v>
      </c>
      <c r="V14" s="109" t="s">
        <v>238</v>
      </c>
      <c r="W14" s="109" t="s">
        <v>241</v>
      </c>
      <c r="X14" s="109" t="s">
        <v>13</v>
      </c>
      <c r="Y14" s="109" t="s">
        <v>14</v>
      </c>
      <c r="Z14" s="109" t="s">
        <v>15</v>
      </c>
      <c r="AA14" s="109" t="s">
        <v>16</v>
      </c>
      <c r="AB14" s="109" t="s">
        <v>17</v>
      </c>
      <c r="AC14" s="108" t="s">
        <v>239</v>
      </c>
      <c r="AD14" s="108" t="s">
        <v>240</v>
      </c>
      <c r="AE14" s="108" t="s">
        <v>18</v>
      </c>
      <c r="AF14" s="109" t="s">
        <v>19</v>
      </c>
    </row>
    <row r="15" spans="1:32" x14ac:dyDescent="0.25">
      <c r="A15" s="92" t="s">
        <v>192</v>
      </c>
      <c r="B15" s="92"/>
      <c r="C15" s="92"/>
      <c r="D15" s="92"/>
      <c r="E15" s="92">
        <v>8601</v>
      </c>
      <c r="F15" s="92"/>
      <c r="G15" s="92">
        <v>2583</v>
      </c>
      <c r="H15" s="92">
        <v>71</v>
      </c>
      <c r="I15" s="92"/>
      <c r="J15" s="92">
        <v>29.61</v>
      </c>
      <c r="K15" s="92">
        <v>4760.93</v>
      </c>
      <c r="L15" s="92">
        <v>8907</v>
      </c>
      <c r="M15" s="92">
        <v>27315</v>
      </c>
      <c r="N15" s="92">
        <v>7479</v>
      </c>
      <c r="O15" s="92">
        <v>6.07</v>
      </c>
      <c r="P15" s="92"/>
      <c r="Q15" s="92">
        <v>82</v>
      </c>
      <c r="R15" s="92"/>
      <c r="S15" s="92"/>
      <c r="T15" s="92">
        <v>9553.58</v>
      </c>
      <c r="U15" s="92"/>
      <c r="V15" s="92">
        <v>1</v>
      </c>
      <c r="W15" s="92">
        <v>1285</v>
      </c>
      <c r="X15" s="92">
        <v>1649</v>
      </c>
      <c r="Y15" s="92">
        <v>3042</v>
      </c>
      <c r="Z15" s="92">
        <v>50</v>
      </c>
      <c r="AA15" s="92"/>
      <c r="AB15" s="92">
        <v>29605</v>
      </c>
      <c r="AC15" s="92"/>
      <c r="AD15" s="92">
        <v>15900</v>
      </c>
      <c r="AE15" s="92">
        <v>15437</v>
      </c>
      <c r="AF15" s="92">
        <v>359</v>
      </c>
    </row>
    <row r="16" spans="1:32" x14ac:dyDescent="0.25">
      <c r="A16" s="92" t="s">
        <v>26</v>
      </c>
      <c r="B16" s="92"/>
      <c r="C16" s="92"/>
      <c r="D16" s="92"/>
      <c r="E16" s="92">
        <v>6204</v>
      </c>
      <c r="F16" s="92"/>
      <c r="G16" s="92">
        <v>1878</v>
      </c>
      <c r="H16" s="92">
        <v>46</v>
      </c>
      <c r="I16" s="92"/>
      <c r="J16" s="92">
        <v>53.6</v>
      </c>
      <c r="K16" s="92">
        <v>2980.78</v>
      </c>
      <c r="L16" s="92">
        <v>7820</v>
      </c>
      <c r="M16" s="92">
        <v>21692</v>
      </c>
      <c r="N16" s="92">
        <v>8435</v>
      </c>
      <c r="O16" s="92">
        <v>8.67</v>
      </c>
      <c r="P16" s="92"/>
      <c r="Q16" s="92">
        <v>17</v>
      </c>
      <c r="R16" s="92"/>
      <c r="S16" s="92"/>
      <c r="T16" s="92">
        <v>8170.44</v>
      </c>
      <c r="U16" s="92"/>
      <c r="V16" s="92">
        <v>1</v>
      </c>
      <c r="W16" s="92">
        <v>1432</v>
      </c>
      <c r="X16" s="92">
        <v>1281</v>
      </c>
      <c r="Y16" s="92">
        <v>4180</v>
      </c>
      <c r="Z16" s="92">
        <v>11</v>
      </c>
      <c r="AA16" s="92"/>
      <c r="AB16" s="92">
        <v>29422</v>
      </c>
      <c r="AC16" s="92"/>
      <c r="AD16" s="92">
        <v>12628</v>
      </c>
      <c r="AE16" s="92">
        <v>14557</v>
      </c>
      <c r="AF16" s="92">
        <v>339</v>
      </c>
    </row>
    <row r="17" spans="1:32" x14ac:dyDescent="0.25">
      <c r="A17" s="92" t="s">
        <v>259</v>
      </c>
      <c r="B17" s="92"/>
      <c r="C17" s="92"/>
      <c r="D17" s="92"/>
      <c r="E17" s="92">
        <v>878</v>
      </c>
      <c r="F17" s="92"/>
      <c r="G17" s="92">
        <v>-83</v>
      </c>
      <c r="H17" s="92">
        <v>-228</v>
      </c>
      <c r="I17" s="92"/>
      <c r="J17" s="92">
        <v>3.3</v>
      </c>
      <c r="K17" s="92">
        <v>667.37</v>
      </c>
      <c r="L17" s="92">
        <v>1286</v>
      </c>
      <c r="M17" s="92">
        <v>3806</v>
      </c>
      <c r="N17" s="92">
        <v>647</v>
      </c>
      <c r="O17" s="92">
        <v>20.059999999999999</v>
      </c>
      <c r="P17" s="92"/>
      <c r="Q17" s="92">
        <v>-46</v>
      </c>
      <c r="R17" s="92"/>
      <c r="S17" s="92"/>
      <c r="T17" s="92">
        <v>659.45</v>
      </c>
      <c r="U17" s="92"/>
      <c r="V17" s="92"/>
      <c r="W17" s="92">
        <v>-106</v>
      </c>
      <c r="X17" s="92">
        <v>168</v>
      </c>
      <c r="Y17" s="30">
        <v>751</v>
      </c>
      <c r="Z17" s="92">
        <v>2</v>
      </c>
      <c r="AA17" s="92"/>
      <c r="AB17" s="92">
        <v>4745</v>
      </c>
      <c r="AC17" s="92"/>
      <c r="AD17" s="92">
        <v>1876</v>
      </c>
      <c r="AE17" s="92">
        <v>1781</v>
      </c>
      <c r="AF17" s="92">
        <v>-133</v>
      </c>
    </row>
    <row r="18" spans="1:32" x14ac:dyDescent="0.25">
      <c r="A18" s="92" t="s">
        <v>260</v>
      </c>
      <c r="B18" s="92"/>
      <c r="C18" s="92"/>
      <c r="D18" s="92"/>
      <c r="E18" s="92">
        <v>2396</v>
      </c>
      <c r="F18" s="92"/>
      <c r="G18" s="92">
        <v>727</v>
      </c>
      <c r="H18" s="92">
        <v>253</v>
      </c>
      <c r="I18" s="92"/>
      <c r="J18" s="92">
        <v>11.98</v>
      </c>
      <c r="K18" s="92">
        <v>1436.33</v>
      </c>
      <c r="L18" s="92">
        <v>2130</v>
      </c>
      <c r="M18" s="92">
        <v>5873</v>
      </c>
      <c r="N18" s="92">
        <v>1451</v>
      </c>
      <c r="O18" s="92">
        <v>30.05</v>
      </c>
      <c r="P18" s="92"/>
      <c r="Q18" s="92">
        <v>454</v>
      </c>
      <c r="R18" s="92"/>
      <c r="S18" s="92"/>
      <c r="T18" s="92">
        <v>1527.56</v>
      </c>
      <c r="U18" s="92"/>
      <c r="V18" s="92">
        <v>1</v>
      </c>
      <c r="W18" s="92">
        <v>564</v>
      </c>
      <c r="X18" s="92">
        <v>442</v>
      </c>
      <c r="Y18" s="147">
        <v>1101</v>
      </c>
      <c r="Z18" s="92">
        <v>15</v>
      </c>
      <c r="AA18" s="92"/>
      <c r="AB18" s="92">
        <v>3002</v>
      </c>
      <c r="AC18" s="92"/>
      <c r="AD18" s="92">
        <v>4752</v>
      </c>
      <c r="AE18" s="92">
        <v>5006</v>
      </c>
      <c r="AF18" s="92">
        <v>75.44</v>
      </c>
    </row>
    <row r="19" spans="1:32" x14ac:dyDescent="0.25">
      <c r="A19" s="92" t="s">
        <v>261</v>
      </c>
      <c r="B19" s="92"/>
      <c r="C19" s="92"/>
      <c r="D19" s="92"/>
      <c r="E19" s="92"/>
      <c r="F19" s="92"/>
      <c r="G19" s="92"/>
      <c r="H19" s="92">
        <v>-5</v>
      </c>
      <c r="I19" s="92"/>
      <c r="J19" s="92">
        <v>-5.55</v>
      </c>
      <c r="K19" s="92"/>
      <c r="L19" s="92"/>
      <c r="M19" s="92"/>
      <c r="N19" s="92"/>
      <c r="O19" s="92"/>
      <c r="P19" s="92"/>
      <c r="Q19" s="92">
        <v>-2</v>
      </c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</row>
    <row r="20" spans="1:32" x14ac:dyDescent="0.25">
      <c r="A20" s="92" t="s">
        <v>257</v>
      </c>
      <c r="B20" s="92"/>
      <c r="C20" s="92"/>
      <c r="D20" s="92"/>
      <c r="E20" s="92">
        <f t="shared" ref="E20:AF20" si="4">E15-E16-E17-E18-E19</f>
        <v>-877</v>
      </c>
      <c r="F20" s="92"/>
      <c r="G20" s="92">
        <f t="shared" si="4"/>
        <v>61</v>
      </c>
      <c r="H20" s="92">
        <f t="shared" si="4"/>
        <v>5</v>
      </c>
      <c r="I20" s="92"/>
      <c r="J20" s="92">
        <f t="shared" si="4"/>
        <v>-33.720000000000006</v>
      </c>
      <c r="K20" s="92">
        <f t="shared" si="4"/>
        <v>-323.54999999999973</v>
      </c>
      <c r="L20" s="92">
        <f t="shared" si="4"/>
        <v>-2329</v>
      </c>
      <c r="M20" s="92">
        <f t="shared" si="4"/>
        <v>-4056</v>
      </c>
      <c r="N20" s="92">
        <f t="shared" si="4"/>
        <v>-3054</v>
      </c>
      <c r="O20" s="92">
        <f t="shared" si="4"/>
        <v>-52.709999999999994</v>
      </c>
      <c r="P20" s="92">
        <f t="shared" si="4"/>
        <v>0</v>
      </c>
      <c r="Q20" s="92">
        <f t="shared" si="4"/>
        <v>-341</v>
      </c>
      <c r="R20" s="92"/>
      <c r="S20" s="92"/>
      <c r="T20" s="92">
        <f t="shared" si="4"/>
        <v>-803.86999999999966</v>
      </c>
      <c r="U20" s="92"/>
      <c r="V20" s="92">
        <f t="shared" si="4"/>
        <v>-1</v>
      </c>
      <c r="W20" s="92">
        <f t="shared" si="4"/>
        <v>-605</v>
      </c>
      <c r="X20" s="92">
        <f t="shared" si="4"/>
        <v>-242</v>
      </c>
      <c r="Y20" s="92">
        <f t="shared" si="4"/>
        <v>-2990</v>
      </c>
      <c r="Z20" s="92">
        <f t="shared" si="4"/>
        <v>22</v>
      </c>
      <c r="AA20" s="92"/>
      <c r="AB20" s="92">
        <f t="shared" si="4"/>
        <v>-7564</v>
      </c>
      <c r="AC20" s="92"/>
      <c r="AD20" s="92">
        <f t="shared" si="4"/>
        <v>-3356</v>
      </c>
      <c r="AE20" s="92">
        <f t="shared" si="4"/>
        <v>-5907</v>
      </c>
      <c r="AF20" s="92">
        <f t="shared" si="4"/>
        <v>77.56</v>
      </c>
    </row>
    <row r="21" spans="1:32" x14ac:dyDescent="0.25">
      <c r="A21" s="92" t="s">
        <v>258</v>
      </c>
      <c r="B21" s="91"/>
      <c r="C21" s="91"/>
      <c r="D21" s="91"/>
      <c r="E21" s="91">
        <f t="shared" ref="E21:AF21" si="5">E20*100/E15</f>
        <v>-10.196488780374375</v>
      </c>
      <c r="F21" s="91"/>
      <c r="G21" s="91">
        <f t="shared" si="5"/>
        <v>2.3615950445218736</v>
      </c>
      <c r="H21" s="91">
        <f t="shared" si="5"/>
        <v>7.042253521126761</v>
      </c>
      <c r="I21" s="91"/>
      <c r="J21" s="91">
        <f t="shared" si="5"/>
        <v>-113.88044579533943</v>
      </c>
      <c r="K21" s="91">
        <f t="shared" si="5"/>
        <v>-6.7959411291491305</v>
      </c>
      <c r="L21" s="91">
        <f t="shared" si="5"/>
        <v>-26.147973503985629</v>
      </c>
      <c r="M21" s="91">
        <f t="shared" si="5"/>
        <v>-14.848984074684239</v>
      </c>
      <c r="N21" s="91">
        <f t="shared" si="5"/>
        <v>-40.834336141195344</v>
      </c>
      <c r="O21" s="91">
        <f t="shared" si="5"/>
        <v>-868.36902800658959</v>
      </c>
      <c r="P21" s="91" t="e">
        <f t="shared" si="5"/>
        <v>#DIV/0!</v>
      </c>
      <c r="Q21" s="91">
        <f t="shared" si="5"/>
        <v>-415.85365853658539</v>
      </c>
      <c r="R21" s="91"/>
      <c r="S21" s="91"/>
      <c r="T21" s="91">
        <f t="shared" si="5"/>
        <v>-8.4143326376080978</v>
      </c>
      <c r="U21" s="91"/>
      <c r="V21" s="91">
        <f t="shared" si="5"/>
        <v>-100</v>
      </c>
      <c r="W21" s="91">
        <f t="shared" si="5"/>
        <v>-47.081712062256813</v>
      </c>
      <c r="X21" s="91">
        <f t="shared" si="5"/>
        <v>-14.675560946027895</v>
      </c>
      <c r="Y21" s="91">
        <f t="shared" si="5"/>
        <v>-98.290598290598297</v>
      </c>
      <c r="Z21" s="91">
        <f t="shared" si="5"/>
        <v>44</v>
      </c>
      <c r="AA21" s="91"/>
      <c r="AB21" s="91">
        <f t="shared" si="5"/>
        <v>-25.549738219895289</v>
      </c>
      <c r="AC21" s="91"/>
      <c r="AD21" s="91">
        <f t="shared" si="5"/>
        <v>-21.10691823899371</v>
      </c>
      <c r="AE21" s="91">
        <f t="shared" si="5"/>
        <v>-38.265206970266242</v>
      </c>
      <c r="AF21" s="91">
        <f t="shared" si="5"/>
        <v>21.604456824512535</v>
      </c>
    </row>
    <row r="23" spans="1:32" x14ac:dyDescent="0.25">
      <c r="A23" s="27" t="s">
        <v>184</v>
      </c>
    </row>
    <row r="24" spans="1:32" x14ac:dyDescent="0.25">
      <c r="A24" s="1" t="s">
        <v>0</v>
      </c>
      <c r="B24" s="109" t="s">
        <v>1</v>
      </c>
      <c r="C24" s="109" t="s">
        <v>234</v>
      </c>
      <c r="D24" s="109" t="s">
        <v>2</v>
      </c>
      <c r="E24" s="109" t="s">
        <v>3</v>
      </c>
      <c r="F24" s="109" t="s">
        <v>243</v>
      </c>
      <c r="G24" s="109" t="s">
        <v>235</v>
      </c>
      <c r="H24" s="109" t="s">
        <v>246</v>
      </c>
      <c r="I24" s="109" t="s">
        <v>5</v>
      </c>
      <c r="J24" s="109" t="s">
        <v>4</v>
      </c>
      <c r="K24" s="109" t="s">
        <v>6</v>
      </c>
      <c r="L24" s="109" t="s">
        <v>7</v>
      </c>
      <c r="M24" s="109" t="s">
        <v>8</v>
      </c>
      <c r="N24" s="109" t="s">
        <v>9</v>
      </c>
      <c r="O24" s="109" t="s">
        <v>242</v>
      </c>
      <c r="P24" s="109" t="s">
        <v>10</v>
      </c>
      <c r="Q24" s="109" t="s">
        <v>11</v>
      </c>
      <c r="R24" s="109" t="s">
        <v>236</v>
      </c>
      <c r="S24" s="109" t="s">
        <v>245</v>
      </c>
      <c r="T24" s="109" t="s">
        <v>12</v>
      </c>
      <c r="U24" s="109" t="s">
        <v>237</v>
      </c>
      <c r="V24" s="109" t="s">
        <v>238</v>
      </c>
      <c r="W24" s="109" t="s">
        <v>241</v>
      </c>
      <c r="X24" s="109" t="s">
        <v>13</v>
      </c>
      <c r="Y24" s="109" t="s">
        <v>14</v>
      </c>
      <c r="Z24" s="109" t="s">
        <v>15</v>
      </c>
      <c r="AA24" s="109" t="s">
        <v>16</v>
      </c>
      <c r="AB24" s="109" t="s">
        <v>17</v>
      </c>
      <c r="AC24" s="108" t="s">
        <v>239</v>
      </c>
      <c r="AD24" s="108" t="s">
        <v>240</v>
      </c>
      <c r="AE24" s="108" t="s">
        <v>18</v>
      </c>
      <c r="AF24" s="109" t="s">
        <v>19</v>
      </c>
    </row>
    <row r="25" spans="1:32" x14ac:dyDescent="0.25">
      <c r="A25" s="92" t="s">
        <v>192</v>
      </c>
      <c r="B25" s="92">
        <v>9163</v>
      </c>
      <c r="C25" s="92"/>
      <c r="D25" s="92"/>
      <c r="E25" s="92">
        <v>335018</v>
      </c>
      <c r="F25" s="92"/>
      <c r="G25" s="92">
        <v>201148</v>
      </c>
      <c r="H25" s="92">
        <v>196801</v>
      </c>
      <c r="I25" s="92"/>
      <c r="J25" s="92">
        <v>9340.2900000000009</v>
      </c>
      <c r="K25" s="92">
        <v>103442.17</v>
      </c>
      <c r="L25" s="92">
        <v>192799</v>
      </c>
      <c r="M25" s="92">
        <v>592395</v>
      </c>
      <c r="N25" s="92">
        <v>246303</v>
      </c>
      <c r="O25" s="92">
        <v>20666.150000000001</v>
      </c>
      <c r="P25" s="92"/>
      <c r="Q25" s="92">
        <v>57073</v>
      </c>
      <c r="R25" s="92"/>
      <c r="S25" s="92"/>
      <c r="T25" s="92">
        <v>325404.18</v>
      </c>
      <c r="U25" s="92">
        <v>2805</v>
      </c>
      <c r="V25" s="92">
        <v>16354</v>
      </c>
      <c r="W25" s="92">
        <v>201295</v>
      </c>
      <c r="X25" s="92">
        <v>129255</v>
      </c>
      <c r="Y25" s="92">
        <v>96761</v>
      </c>
      <c r="Z25" s="92">
        <v>133803</v>
      </c>
      <c r="AA25" s="92"/>
      <c r="AB25" s="92">
        <v>314717</v>
      </c>
      <c r="AC25" s="92"/>
      <c r="AD25" s="92">
        <v>248136</v>
      </c>
      <c r="AE25" s="92">
        <v>385680</v>
      </c>
      <c r="AF25" s="92">
        <v>43130</v>
      </c>
    </row>
    <row r="26" spans="1:32" x14ac:dyDescent="0.25">
      <c r="A26" s="92" t="s">
        <v>26</v>
      </c>
      <c r="B26" s="92">
        <v>7931</v>
      </c>
      <c r="C26" s="92"/>
      <c r="D26" s="92"/>
      <c r="E26" s="92">
        <v>231027</v>
      </c>
      <c r="F26" s="92"/>
      <c r="G26" s="92">
        <v>126862</v>
      </c>
      <c r="H26" s="92">
        <v>155601</v>
      </c>
      <c r="I26" s="92"/>
      <c r="J26" s="92">
        <v>7942.3</v>
      </c>
      <c r="K26" s="92">
        <v>64424.82</v>
      </c>
      <c r="L26" s="92">
        <v>139234</v>
      </c>
      <c r="M26" s="92">
        <v>410850</v>
      </c>
      <c r="N26" s="92">
        <v>202778</v>
      </c>
      <c r="O26" s="92">
        <v>16682.11</v>
      </c>
      <c r="P26" s="92"/>
      <c r="Q26" s="92">
        <v>39966</v>
      </c>
      <c r="R26" s="92"/>
      <c r="S26" s="92"/>
      <c r="T26" s="92">
        <v>295670.15000000002</v>
      </c>
      <c r="U26" s="92">
        <v>2637</v>
      </c>
      <c r="V26" s="92">
        <v>15394</v>
      </c>
      <c r="W26" s="92">
        <v>149632</v>
      </c>
      <c r="X26" s="92">
        <v>112740</v>
      </c>
      <c r="Y26" s="92">
        <v>90320</v>
      </c>
      <c r="Z26" s="92">
        <v>102755</v>
      </c>
      <c r="AA26" s="92"/>
      <c r="AB26" s="92">
        <v>237169</v>
      </c>
      <c r="AC26" s="92"/>
      <c r="AD26" s="92">
        <v>241359</v>
      </c>
      <c r="AE26" s="92">
        <v>315578</v>
      </c>
      <c r="AF26" s="92">
        <v>36669</v>
      </c>
    </row>
    <row r="27" spans="1:32" x14ac:dyDescent="0.25">
      <c r="A27" s="92" t="s">
        <v>259</v>
      </c>
      <c r="B27" s="92">
        <v>-2830</v>
      </c>
      <c r="C27" s="92"/>
      <c r="D27" s="92"/>
      <c r="E27" s="92">
        <v>18190</v>
      </c>
      <c r="F27" s="92"/>
      <c r="G27" s="92">
        <v>4491</v>
      </c>
      <c r="H27" s="92">
        <v>9606</v>
      </c>
      <c r="I27" s="92"/>
      <c r="J27" s="92">
        <v>725.49</v>
      </c>
      <c r="K27" s="92">
        <v>5638.65</v>
      </c>
      <c r="L27" s="92">
        <v>1886</v>
      </c>
      <c r="M27" s="92">
        <v>51761</v>
      </c>
      <c r="N27" s="92">
        <v>20805</v>
      </c>
      <c r="O27" s="38">
        <v>1570.67</v>
      </c>
      <c r="P27" s="92"/>
      <c r="Q27" s="92">
        <v>-1771</v>
      </c>
      <c r="R27" s="92"/>
      <c r="S27" s="92"/>
      <c r="T27" s="92">
        <v>22227.43</v>
      </c>
      <c r="U27" s="92">
        <v>63</v>
      </c>
      <c r="V27" s="92">
        <v>2353</v>
      </c>
      <c r="W27" s="92">
        <v>7534</v>
      </c>
      <c r="X27" s="92">
        <v>9610</v>
      </c>
      <c r="Y27" s="92">
        <v>6804</v>
      </c>
      <c r="Z27" s="92">
        <v>5841</v>
      </c>
      <c r="AA27" s="92"/>
      <c r="AB27" s="92">
        <v>16224</v>
      </c>
      <c r="AC27" s="92"/>
      <c r="AD27" s="92">
        <v>18985</v>
      </c>
      <c r="AE27" s="92">
        <v>25295</v>
      </c>
      <c r="AF27" s="92">
        <v>5370</v>
      </c>
    </row>
    <row r="28" spans="1:32" x14ac:dyDescent="0.25">
      <c r="A28" s="92" t="s">
        <v>260</v>
      </c>
      <c r="B28" s="92">
        <v>10455</v>
      </c>
      <c r="C28" s="92"/>
      <c r="D28" s="92"/>
      <c r="E28" s="92">
        <v>62646</v>
      </c>
      <c r="F28" s="92"/>
      <c r="G28" s="92">
        <v>71532</v>
      </c>
      <c r="H28" s="92">
        <v>70566</v>
      </c>
      <c r="I28" s="92"/>
      <c r="J28" s="92">
        <v>5222.7700000000004</v>
      </c>
      <c r="K28" s="92">
        <v>36956.39</v>
      </c>
      <c r="L28" s="92">
        <v>38176</v>
      </c>
      <c r="M28" s="92">
        <v>173839</v>
      </c>
      <c r="N28" s="92">
        <v>39083</v>
      </c>
      <c r="O28" s="92">
        <v>8819.27</v>
      </c>
      <c r="P28" s="92"/>
      <c r="Q28" s="92">
        <v>29101</v>
      </c>
      <c r="R28" s="92"/>
      <c r="S28" s="92"/>
      <c r="T28" s="92">
        <v>65294.5</v>
      </c>
      <c r="U28" s="92">
        <v>6248</v>
      </c>
      <c r="V28" s="92">
        <v>7797</v>
      </c>
      <c r="W28" s="92">
        <v>73932</v>
      </c>
      <c r="X28" s="92">
        <v>31133</v>
      </c>
      <c r="Y28" s="92">
        <v>41028</v>
      </c>
      <c r="Z28" s="92">
        <v>29708</v>
      </c>
      <c r="AA28" s="92"/>
      <c r="AB28" s="92">
        <v>92851</v>
      </c>
      <c r="AC28" s="92"/>
      <c r="AD28" s="92">
        <v>48472</v>
      </c>
      <c r="AE28" s="92">
        <v>92709</v>
      </c>
      <c r="AF28" s="92">
        <v>12678.44</v>
      </c>
    </row>
    <row r="29" spans="1:32" x14ac:dyDescent="0.25">
      <c r="A29" s="92" t="s">
        <v>261</v>
      </c>
      <c r="B29" s="92"/>
      <c r="C29" s="92"/>
      <c r="D29" s="92"/>
      <c r="E29" s="92"/>
      <c r="F29" s="92"/>
      <c r="G29" s="92"/>
      <c r="H29" s="92"/>
      <c r="I29" s="92"/>
      <c r="J29" s="92">
        <v>-40.98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2" x14ac:dyDescent="0.25">
      <c r="A30" s="92" t="s">
        <v>257</v>
      </c>
      <c r="B30" s="92">
        <f t="shared" ref="B30:AF30" si="6">B25-B26-B27-B28-B29</f>
        <v>-6393</v>
      </c>
      <c r="C30" s="92"/>
      <c r="D30" s="92"/>
      <c r="E30" s="92">
        <f t="shared" si="6"/>
        <v>23155</v>
      </c>
      <c r="F30" s="92"/>
      <c r="G30" s="92">
        <f t="shared" si="6"/>
        <v>-1737</v>
      </c>
      <c r="H30" s="92">
        <f t="shared" si="6"/>
        <v>-38972</v>
      </c>
      <c r="I30" s="92"/>
      <c r="J30" s="92">
        <f t="shared" si="6"/>
        <v>-4509.29</v>
      </c>
      <c r="K30" s="92">
        <f t="shared" si="6"/>
        <v>-3577.6900000000023</v>
      </c>
      <c r="L30" s="92">
        <f t="shared" si="6"/>
        <v>13503</v>
      </c>
      <c r="M30" s="92">
        <f t="shared" si="6"/>
        <v>-44055</v>
      </c>
      <c r="N30" s="92">
        <f t="shared" si="6"/>
        <v>-16363</v>
      </c>
      <c r="O30" s="92">
        <f t="shared" si="6"/>
        <v>-6405.9</v>
      </c>
      <c r="P30" s="92">
        <f t="shared" si="6"/>
        <v>0</v>
      </c>
      <c r="Q30" s="92">
        <f t="shared" si="6"/>
        <v>-10223</v>
      </c>
      <c r="R30" s="92"/>
      <c r="S30" s="92"/>
      <c r="T30" s="92">
        <f t="shared" si="6"/>
        <v>-57787.900000000031</v>
      </c>
      <c r="U30" s="92">
        <f t="shared" si="6"/>
        <v>-6143</v>
      </c>
      <c r="V30" s="92">
        <f t="shared" si="6"/>
        <v>-9190</v>
      </c>
      <c r="W30" s="92">
        <f t="shared" si="6"/>
        <v>-29803</v>
      </c>
      <c r="X30" s="92">
        <f t="shared" si="6"/>
        <v>-24228</v>
      </c>
      <c r="Y30" s="92">
        <f t="shared" si="6"/>
        <v>-41391</v>
      </c>
      <c r="Z30" s="92">
        <f t="shared" si="6"/>
        <v>-4501</v>
      </c>
      <c r="AA30" s="92"/>
      <c r="AB30" s="92">
        <f t="shared" si="6"/>
        <v>-31527</v>
      </c>
      <c r="AC30" s="92"/>
      <c r="AD30" s="92">
        <f t="shared" si="6"/>
        <v>-60680</v>
      </c>
      <c r="AE30" s="92">
        <f t="shared" si="6"/>
        <v>-47902</v>
      </c>
      <c r="AF30" s="92">
        <f t="shared" si="6"/>
        <v>-11587.44</v>
      </c>
    </row>
    <row r="31" spans="1:32" x14ac:dyDescent="0.25">
      <c r="A31" s="92" t="s">
        <v>258</v>
      </c>
      <c r="B31" s="91">
        <f t="shared" ref="B31:AF31" si="7">B30*100/B25</f>
        <v>-69.769726072247082</v>
      </c>
      <c r="C31" s="91"/>
      <c r="D31" s="91"/>
      <c r="E31" s="91">
        <f t="shared" si="7"/>
        <v>6.9115689306246235</v>
      </c>
      <c r="F31" s="91"/>
      <c r="G31" s="91">
        <f t="shared" si="7"/>
        <v>-0.86354326167796847</v>
      </c>
      <c r="H31" s="91">
        <f t="shared" si="7"/>
        <v>-19.802744904751499</v>
      </c>
      <c r="I31" s="91"/>
      <c r="J31" s="91">
        <f t="shared" si="7"/>
        <v>-48.277837197774367</v>
      </c>
      <c r="K31" s="91">
        <f t="shared" si="7"/>
        <v>-3.4586378069988308</v>
      </c>
      <c r="L31" s="91">
        <f t="shared" si="7"/>
        <v>7.0036670314680052</v>
      </c>
      <c r="M31" s="91">
        <f t="shared" si="7"/>
        <v>-7.4367609449775909</v>
      </c>
      <c r="N31" s="91">
        <f t="shared" si="7"/>
        <v>-6.643443238612603</v>
      </c>
      <c r="O31" s="91">
        <f t="shared" si="7"/>
        <v>-30.997065249211872</v>
      </c>
      <c r="P31" s="91" t="e">
        <f t="shared" si="7"/>
        <v>#DIV/0!</v>
      </c>
      <c r="Q31" s="91">
        <f t="shared" si="7"/>
        <v>-17.912147600441539</v>
      </c>
      <c r="R31" s="91"/>
      <c r="S31" s="91"/>
      <c r="T31" s="91">
        <f t="shared" si="7"/>
        <v>-17.758806908995464</v>
      </c>
      <c r="U31" s="91">
        <f t="shared" si="7"/>
        <v>-219.00178253119429</v>
      </c>
      <c r="V31" s="91">
        <f t="shared" si="7"/>
        <v>-56.194203253026785</v>
      </c>
      <c r="W31" s="91">
        <f t="shared" si="7"/>
        <v>-14.805633522938971</v>
      </c>
      <c r="X31" s="91">
        <f t="shared" si="7"/>
        <v>-18.744342578623652</v>
      </c>
      <c r="Y31" s="91">
        <f t="shared" si="7"/>
        <v>-42.776531867177894</v>
      </c>
      <c r="Z31" s="91">
        <f t="shared" si="7"/>
        <v>-3.3639006599254127</v>
      </c>
      <c r="AA31" s="91"/>
      <c r="AB31" s="91">
        <f t="shared" si="7"/>
        <v>-10.017571341872221</v>
      </c>
      <c r="AC31" s="91"/>
      <c r="AD31" s="91">
        <f t="shared" si="7"/>
        <v>-24.454331495631429</v>
      </c>
      <c r="AE31" s="91">
        <f t="shared" si="7"/>
        <v>-12.420141049574777</v>
      </c>
      <c r="AF31" s="91">
        <f t="shared" si="7"/>
        <v>-26.866311152330166</v>
      </c>
    </row>
    <row r="33" spans="1:32" x14ac:dyDescent="0.25">
      <c r="A33" s="27" t="s">
        <v>185</v>
      </c>
    </row>
    <row r="34" spans="1:32" x14ac:dyDescent="0.25">
      <c r="A34" s="1" t="s">
        <v>0</v>
      </c>
      <c r="B34" s="109" t="s">
        <v>1</v>
      </c>
      <c r="C34" s="109" t="s">
        <v>234</v>
      </c>
      <c r="D34" s="109" t="s">
        <v>2</v>
      </c>
      <c r="E34" s="109" t="s">
        <v>3</v>
      </c>
      <c r="F34" s="109" t="s">
        <v>243</v>
      </c>
      <c r="G34" s="109" t="s">
        <v>235</v>
      </c>
      <c r="H34" s="109" t="s">
        <v>246</v>
      </c>
      <c r="I34" s="109" t="s">
        <v>5</v>
      </c>
      <c r="J34" s="109" t="s">
        <v>4</v>
      </c>
      <c r="K34" s="109" t="s">
        <v>6</v>
      </c>
      <c r="L34" s="109" t="s">
        <v>7</v>
      </c>
      <c r="M34" s="109" t="s">
        <v>8</v>
      </c>
      <c r="N34" s="109" t="s">
        <v>9</v>
      </c>
      <c r="O34" s="109" t="s">
        <v>242</v>
      </c>
      <c r="P34" s="109" t="s">
        <v>10</v>
      </c>
      <c r="Q34" s="109" t="s">
        <v>11</v>
      </c>
      <c r="R34" s="109" t="s">
        <v>236</v>
      </c>
      <c r="S34" s="109" t="s">
        <v>245</v>
      </c>
      <c r="T34" s="109" t="s">
        <v>12</v>
      </c>
      <c r="U34" s="109" t="s">
        <v>237</v>
      </c>
      <c r="V34" s="109" t="s">
        <v>238</v>
      </c>
      <c r="W34" s="109" t="s">
        <v>241</v>
      </c>
      <c r="X34" s="109" t="s">
        <v>13</v>
      </c>
      <c r="Y34" s="109" t="s">
        <v>14</v>
      </c>
      <c r="Z34" s="109" t="s">
        <v>15</v>
      </c>
      <c r="AA34" s="109" t="s">
        <v>16</v>
      </c>
      <c r="AB34" s="109" t="s">
        <v>17</v>
      </c>
      <c r="AC34" s="108" t="s">
        <v>239</v>
      </c>
      <c r="AD34" s="108" t="s">
        <v>240</v>
      </c>
      <c r="AE34" s="108" t="s">
        <v>18</v>
      </c>
      <c r="AF34" s="109" t="s">
        <v>19</v>
      </c>
    </row>
    <row r="35" spans="1:32" x14ac:dyDescent="0.25">
      <c r="A35" s="92" t="s">
        <v>192</v>
      </c>
      <c r="B35" s="92"/>
      <c r="C35" s="92"/>
      <c r="D35" s="92"/>
      <c r="E35" s="92">
        <v>2075</v>
      </c>
      <c r="F35" s="92"/>
      <c r="G35" s="92">
        <v>985</v>
      </c>
      <c r="H35" s="92">
        <v>131</v>
      </c>
      <c r="I35" s="92"/>
      <c r="J35" s="92">
        <v>30.01</v>
      </c>
      <c r="K35" s="92">
        <v>860.6</v>
      </c>
      <c r="L35" s="92">
        <v>3521</v>
      </c>
      <c r="M35" s="92">
        <v>10676</v>
      </c>
      <c r="N35" s="92">
        <v>1365</v>
      </c>
      <c r="O35" s="92">
        <v>-55.87</v>
      </c>
      <c r="P35" s="92"/>
      <c r="Q35" s="92">
        <v>99</v>
      </c>
      <c r="R35" s="92"/>
      <c r="S35" s="92"/>
      <c r="T35" s="92">
        <v>14946.98</v>
      </c>
      <c r="U35" s="92">
        <v>6</v>
      </c>
      <c r="V35" s="92">
        <v>61</v>
      </c>
      <c r="W35" s="92">
        <v>3099</v>
      </c>
      <c r="X35" s="92">
        <v>754</v>
      </c>
      <c r="Y35" s="148">
        <v>1353</v>
      </c>
      <c r="Z35" s="92">
        <v>632</v>
      </c>
      <c r="AA35" s="92"/>
      <c r="AB35" s="92">
        <v>1106</v>
      </c>
      <c r="AC35" s="92"/>
      <c r="AD35" s="92">
        <v>13891</v>
      </c>
      <c r="AE35" s="92">
        <v>15059</v>
      </c>
      <c r="AF35" s="92">
        <v>7.82</v>
      </c>
    </row>
    <row r="36" spans="1:32" x14ac:dyDescent="0.25">
      <c r="A36" s="92" t="s">
        <v>26</v>
      </c>
      <c r="B36" s="92"/>
      <c r="C36" s="92"/>
      <c r="D36" s="92"/>
      <c r="E36" s="92">
        <v>1423</v>
      </c>
      <c r="F36" s="92"/>
      <c r="G36" s="92">
        <v>312</v>
      </c>
      <c r="H36" s="92">
        <v>39</v>
      </c>
      <c r="I36" s="92"/>
      <c r="J36" s="92">
        <v>53.15</v>
      </c>
      <c r="K36" s="92">
        <v>487.94</v>
      </c>
      <c r="L36" s="92">
        <v>1853</v>
      </c>
      <c r="M36" s="92">
        <v>7480</v>
      </c>
      <c r="N36" s="92">
        <v>580</v>
      </c>
      <c r="O36" s="92">
        <v>12.46</v>
      </c>
      <c r="P36" s="92"/>
      <c r="Q36" s="92"/>
      <c r="R36" s="92"/>
      <c r="S36" s="92"/>
      <c r="T36" s="92">
        <v>2597.83</v>
      </c>
      <c r="U36" s="92">
        <v>-3</v>
      </c>
      <c r="V36" s="92">
        <v>56</v>
      </c>
      <c r="W36" s="92">
        <v>1607</v>
      </c>
      <c r="X36" s="92">
        <v>334</v>
      </c>
      <c r="Y36" s="92">
        <v>1316</v>
      </c>
      <c r="Z36" s="92">
        <v>509</v>
      </c>
      <c r="AA36" s="92"/>
      <c r="AB36" s="92">
        <v>806</v>
      </c>
      <c r="AC36" s="92"/>
      <c r="AD36" s="92">
        <v>4564</v>
      </c>
      <c r="AE36" s="92">
        <v>3963</v>
      </c>
      <c r="AF36" s="92">
        <v>-104.61</v>
      </c>
    </row>
    <row r="37" spans="1:32" x14ac:dyDescent="0.25">
      <c r="A37" s="92" t="s">
        <v>259</v>
      </c>
      <c r="B37" s="92"/>
      <c r="C37" s="92"/>
      <c r="D37" s="92"/>
      <c r="E37" s="92">
        <v>-1188</v>
      </c>
      <c r="F37" s="92"/>
      <c r="G37" s="92">
        <v>-82</v>
      </c>
      <c r="H37" s="92">
        <v>-194</v>
      </c>
      <c r="I37" s="92"/>
      <c r="J37" s="92">
        <v>-48.26</v>
      </c>
      <c r="K37" s="92">
        <v>-391.55</v>
      </c>
      <c r="L37" s="92">
        <v>-1143</v>
      </c>
      <c r="M37" s="92">
        <v>-804</v>
      </c>
      <c r="N37" s="92">
        <v>369</v>
      </c>
      <c r="O37" s="92">
        <v>-19.350000000000001</v>
      </c>
      <c r="P37" s="92"/>
      <c r="Q37" s="92">
        <v>-3</v>
      </c>
      <c r="R37" s="92"/>
      <c r="S37" s="92"/>
      <c r="T37" s="92">
        <v>1268.58</v>
      </c>
      <c r="U37" s="92">
        <v>1</v>
      </c>
      <c r="V37" s="92">
        <v>28</v>
      </c>
      <c r="W37" s="92">
        <v>245</v>
      </c>
      <c r="X37" s="92">
        <v>-556</v>
      </c>
      <c r="Y37" s="30">
        <v>-445</v>
      </c>
      <c r="Z37" s="92">
        <v>155</v>
      </c>
      <c r="AA37" s="92"/>
      <c r="AB37" s="92">
        <v>-1721</v>
      </c>
      <c r="AC37" s="92"/>
      <c r="AD37" s="92">
        <v>2094</v>
      </c>
      <c r="AE37" s="92">
        <v>2883</v>
      </c>
      <c r="AF37" s="92">
        <v>-91.15</v>
      </c>
    </row>
    <row r="38" spans="1:32" x14ac:dyDescent="0.25">
      <c r="A38" s="92" t="s">
        <v>260</v>
      </c>
      <c r="B38" s="92"/>
      <c r="C38" s="92"/>
      <c r="D38" s="92"/>
      <c r="E38" s="92">
        <v>2489</v>
      </c>
      <c r="F38" s="92"/>
      <c r="G38" s="92">
        <v>271</v>
      </c>
      <c r="H38" s="92">
        <v>458</v>
      </c>
      <c r="I38" s="92"/>
      <c r="J38" s="92">
        <v>22.8</v>
      </c>
      <c r="K38" s="92">
        <v>1121.2</v>
      </c>
      <c r="L38" s="92">
        <v>2131</v>
      </c>
      <c r="M38" s="92">
        <v>2990</v>
      </c>
      <c r="N38" s="92">
        <v>217</v>
      </c>
      <c r="O38" s="92">
        <v>23.23</v>
      </c>
      <c r="P38" s="92"/>
      <c r="Q38" s="92">
        <v>176</v>
      </c>
      <c r="R38" s="92"/>
      <c r="S38" s="92"/>
      <c r="T38" s="92">
        <v>3219.15</v>
      </c>
      <c r="U38" s="92">
        <v>7.0000000000000007E-2</v>
      </c>
      <c r="V38" s="92">
        <v>192</v>
      </c>
      <c r="W38" s="92">
        <v>1183</v>
      </c>
      <c r="X38" s="92">
        <v>205</v>
      </c>
      <c r="Y38" s="30">
        <v>437</v>
      </c>
      <c r="Z38" s="92"/>
      <c r="AA38" s="92"/>
      <c r="AB38" s="92">
        <v>831</v>
      </c>
      <c r="AC38" s="92"/>
      <c r="AD38" s="92">
        <v>5504</v>
      </c>
      <c r="AE38" s="92">
        <v>6877</v>
      </c>
      <c r="AF38" s="92">
        <v>-5.79</v>
      </c>
    </row>
    <row r="39" spans="1:32" x14ac:dyDescent="0.25">
      <c r="A39" s="92" t="s">
        <v>261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 x14ac:dyDescent="0.25">
      <c r="A40" s="92" t="s">
        <v>257</v>
      </c>
      <c r="B40" s="92"/>
      <c r="C40" s="92"/>
      <c r="D40" s="92"/>
      <c r="E40" s="92">
        <f t="shared" ref="E40:AF40" si="8">E35-E36-E37-E38-E39</f>
        <v>-649</v>
      </c>
      <c r="F40" s="92"/>
      <c r="G40" s="92">
        <f t="shared" si="8"/>
        <v>484</v>
      </c>
      <c r="H40" s="92">
        <f t="shared" si="8"/>
        <v>-172</v>
      </c>
      <c r="I40" s="92"/>
      <c r="J40" s="92">
        <f t="shared" si="8"/>
        <v>2.3200000000000003</v>
      </c>
      <c r="K40" s="92">
        <f t="shared" si="8"/>
        <v>-356.99</v>
      </c>
      <c r="L40" s="92">
        <f t="shared" si="8"/>
        <v>680</v>
      </c>
      <c r="M40" s="92">
        <f t="shared" si="8"/>
        <v>1010</v>
      </c>
      <c r="N40" s="92">
        <f t="shared" si="8"/>
        <v>199</v>
      </c>
      <c r="O40" s="92">
        <f t="shared" si="8"/>
        <v>-72.209999999999994</v>
      </c>
      <c r="P40" s="92">
        <f t="shared" si="8"/>
        <v>0</v>
      </c>
      <c r="Q40" s="92">
        <f t="shared" si="8"/>
        <v>-74</v>
      </c>
      <c r="R40" s="92"/>
      <c r="S40" s="92"/>
      <c r="T40" s="92">
        <f t="shared" si="8"/>
        <v>7861.42</v>
      </c>
      <c r="U40" s="92">
        <f t="shared" si="8"/>
        <v>7.93</v>
      </c>
      <c r="V40" s="92">
        <f t="shared" si="8"/>
        <v>-215</v>
      </c>
      <c r="W40" s="92">
        <f t="shared" si="8"/>
        <v>64</v>
      </c>
      <c r="X40" s="92">
        <f t="shared" si="8"/>
        <v>771</v>
      </c>
      <c r="Y40" s="92">
        <f t="shared" si="8"/>
        <v>45</v>
      </c>
      <c r="Z40" s="92">
        <f t="shared" si="8"/>
        <v>-32</v>
      </c>
      <c r="AA40" s="92"/>
      <c r="AB40" s="92">
        <f t="shared" si="8"/>
        <v>1190</v>
      </c>
      <c r="AC40" s="92"/>
      <c r="AD40" s="92">
        <f t="shared" si="8"/>
        <v>1729</v>
      </c>
      <c r="AE40" s="92">
        <f t="shared" si="8"/>
        <v>1336</v>
      </c>
      <c r="AF40" s="92">
        <f t="shared" si="8"/>
        <v>209.37</v>
      </c>
    </row>
    <row r="41" spans="1:32" x14ac:dyDescent="0.25">
      <c r="A41" s="92" t="s">
        <v>258</v>
      </c>
      <c r="B41" s="91"/>
      <c r="C41" s="91"/>
      <c r="D41" s="91"/>
      <c r="E41" s="91">
        <f t="shared" ref="E41:AF41" si="9">E40*100/E35</f>
        <v>-31.277108433734941</v>
      </c>
      <c r="F41" s="91"/>
      <c r="G41" s="91">
        <f t="shared" si="9"/>
        <v>49.137055837563452</v>
      </c>
      <c r="H41" s="91">
        <f t="shared" si="9"/>
        <v>-131.29770992366412</v>
      </c>
      <c r="I41" s="91"/>
      <c r="J41" s="91">
        <f t="shared" si="9"/>
        <v>7.730756414528491</v>
      </c>
      <c r="K41" s="91">
        <f t="shared" si="9"/>
        <v>-41.48152451777829</v>
      </c>
      <c r="L41" s="91">
        <f t="shared" si="9"/>
        <v>19.312695257029254</v>
      </c>
      <c r="M41" s="91">
        <f t="shared" si="9"/>
        <v>9.4604720869239411</v>
      </c>
      <c r="N41" s="91">
        <f t="shared" si="9"/>
        <v>14.578754578754578</v>
      </c>
      <c r="O41" s="91">
        <f t="shared" si="9"/>
        <v>129.2464650080544</v>
      </c>
      <c r="P41" s="91" t="e">
        <f t="shared" si="9"/>
        <v>#DIV/0!</v>
      </c>
      <c r="Q41" s="91">
        <f t="shared" si="9"/>
        <v>-74.747474747474755</v>
      </c>
      <c r="R41" s="91"/>
      <c r="S41" s="91"/>
      <c r="T41" s="91">
        <f t="shared" si="9"/>
        <v>52.595373781191924</v>
      </c>
      <c r="U41" s="91">
        <f t="shared" si="9"/>
        <v>132.16666666666666</v>
      </c>
      <c r="V41" s="91">
        <f t="shared" si="9"/>
        <v>-352.4590163934426</v>
      </c>
      <c r="W41" s="91">
        <f t="shared" si="9"/>
        <v>2.0651823168764118</v>
      </c>
      <c r="X41" s="91">
        <f t="shared" si="9"/>
        <v>102.25464190981432</v>
      </c>
      <c r="Y41" s="91">
        <f t="shared" si="9"/>
        <v>3.3259423503325944</v>
      </c>
      <c r="Z41" s="91">
        <f t="shared" si="9"/>
        <v>-5.0632911392405067</v>
      </c>
      <c r="AA41" s="91"/>
      <c r="AB41" s="91">
        <f t="shared" si="9"/>
        <v>107.59493670886076</v>
      </c>
      <c r="AC41" s="91"/>
      <c r="AD41" s="91">
        <f t="shared" si="9"/>
        <v>12.446908069973365</v>
      </c>
      <c r="AE41" s="91">
        <f t="shared" si="9"/>
        <v>8.8717710339331965</v>
      </c>
      <c r="AF41" s="91">
        <f t="shared" si="9"/>
        <v>2677.3657289002558</v>
      </c>
    </row>
    <row r="43" spans="1:32" x14ac:dyDescent="0.25">
      <c r="A43" s="27" t="s">
        <v>186</v>
      </c>
    </row>
    <row r="44" spans="1:32" x14ac:dyDescent="0.25">
      <c r="A44" s="1" t="s">
        <v>0</v>
      </c>
      <c r="B44" s="109" t="s">
        <v>1</v>
      </c>
      <c r="C44" s="109" t="s">
        <v>234</v>
      </c>
      <c r="D44" s="109" t="s">
        <v>2</v>
      </c>
      <c r="E44" s="109" t="s">
        <v>3</v>
      </c>
      <c r="F44" s="109" t="s">
        <v>243</v>
      </c>
      <c r="G44" s="109" t="s">
        <v>235</v>
      </c>
      <c r="H44" s="109" t="s">
        <v>246</v>
      </c>
      <c r="I44" s="109" t="s">
        <v>5</v>
      </c>
      <c r="J44" s="109" t="s">
        <v>4</v>
      </c>
      <c r="K44" s="109" t="s">
        <v>6</v>
      </c>
      <c r="L44" s="109" t="s">
        <v>7</v>
      </c>
      <c r="M44" s="109" t="s">
        <v>8</v>
      </c>
      <c r="N44" s="109" t="s">
        <v>9</v>
      </c>
      <c r="O44" s="109" t="s">
        <v>242</v>
      </c>
      <c r="P44" s="109" t="s">
        <v>10</v>
      </c>
      <c r="Q44" s="109" t="s">
        <v>11</v>
      </c>
      <c r="R44" s="109" t="s">
        <v>236</v>
      </c>
      <c r="S44" s="109" t="s">
        <v>245</v>
      </c>
      <c r="T44" s="109" t="s">
        <v>12</v>
      </c>
      <c r="U44" s="109" t="s">
        <v>237</v>
      </c>
      <c r="V44" s="109" t="s">
        <v>238</v>
      </c>
      <c r="W44" s="109" t="s">
        <v>241</v>
      </c>
      <c r="X44" s="109" t="s">
        <v>13</v>
      </c>
      <c r="Y44" s="109" t="s">
        <v>14</v>
      </c>
      <c r="Z44" s="109" t="s">
        <v>15</v>
      </c>
      <c r="AA44" s="109" t="s">
        <v>16</v>
      </c>
      <c r="AB44" s="109" t="s">
        <v>17</v>
      </c>
      <c r="AC44" s="108" t="s">
        <v>239</v>
      </c>
      <c r="AD44" s="108" t="s">
        <v>240</v>
      </c>
      <c r="AE44" s="108" t="s">
        <v>18</v>
      </c>
      <c r="AF44" s="109" t="s">
        <v>19</v>
      </c>
    </row>
    <row r="45" spans="1:32" x14ac:dyDescent="0.25">
      <c r="A45" s="92" t="s">
        <v>192</v>
      </c>
      <c r="B45" s="92">
        <f>79+19868</f>
        <v>19947</v>
      </c>
      <c r="C45" s="92">
        <v>78892</v>
      </c>
      <c r="D45" s="92"/>
      <c r="E45" s="92">
        <f>65802+79329+8817</f>
        <v>153948</v>
      </c>
      <c r="F45" s="92">
        <f>38340+26398+87875</f>
        <v>152613</v>
      </c>
      <c r="G45" s="92">
        <f>4732+32444+3</f>
        <v>37179</v>
      </c>
      <c r="H45" s="92">
        <f>1935+23723</f>
        <v>25658</v>
      </c>
      <c r="I45" s="92"/>
      <c r="J45" s="92">
        <f>879.34+6590.17</f>
        <v>7469.51</v>
      </c>
      <c r="K45" s="92">
        <f>14269.18+17107.88+197.42</f>
        <v>31574.48</v>
      </c>
      <c r="L45" s="92">
        <f>153033+76506</f>
        <v>229539</v>
      </c>
      <c r="M45" s="92">
        <f>62391+181346+359</f>
        <v>244096</v>
      </c>
      <c r="N45" s="92">
        <f>15040+85190+10745</f>
        <v>110975</v>
      </c>
      <c r="O45" s="92">
        <f>5075.82+8211.39</f>
        <v>13287.21</v>
      </c>
      <c r="P45" s="92"/>
      <c r="Q45" s="92">
        <f>2113+4376</f>
        <v>6489</v>
      </c>
      <c r="R45" s="92">
        <v>57750</v>
      </c>
      <c r="S45" s="92">
        <v>118231</v>
      </c>
      <c r="T45" s="92">
        <f>146163.62+267667.24+28713.55</f>
        <v>442544.41</v>
      </c>
      <c r="U45" s="92">
        <f>425+2005</f>
        <v>2430</v>
      </c>
      <c r="V45" s="92">
        <f>695+192</f>
        <v>887</v>
      </c>
      <c r="W45" s="92">
        <f>12196+38182+8800</f>
        <v>59178</v>
      </c>
      <c r="X45" s="92">
        <f>13252+13157</f>
        <v>26409</v>
      </c>
      <c r="Y45" s="92">
        <f>32400+99332+8458</f>
        <v>140190</v>
      </c>
      <c r="Z45" s="92">
        <f>911+146+158</f>
        <v>1215</v>
      </c>
      <c r="AA45" s="92">
        <f>635282+83517</f>
        <v>718799</v>
      </c>
      <c r="AB45" s="92">
        <f>31743+55210+189</f>
        <v>87142</v>
      </c>
      <c r="AC45" s="92"/>
      <c r="AD45" s="92">
        <v>434140</v>
      </c>
      <c r="AE45" s="92">
        <f>94430+199808+112639</f>
        <v>406877</v>
      </c>
      <c r="AF45" s="92">
        <f>8300+10080</f>
        <v>18380</v>
      </c>
    </row>
    <row r="46" spans="1:32" x14ac:dyDescent="0.25">
      <c r="A46" s="92" t="s">
        <v>26</v>
      </c>
      <c r="B46" s="92">
        <f>137+23073</f>
        <v>23210</v>
      </c>
      <c r="C46" s="92">
        <v>61325</v>
      </c>
      <c r="D46" s="92"/>
      <c r="E46" s="92">
        <f>59919+73781+10792</f>
        <v>144492</v>
      </c>
      <c r="F46" s="92">
        <f>65039+41986-205+19515</f>
        <v>126335</v>
      </c>
      <c r="G46" s="92">
        <f>6480+41393+2</f>
        <v>47875</v>
      </c>
      <c r="H46" s="92">
        <f>1176+13977</f>
        <v>15153</v>
      </c>
      <c r="I46" s="92"/>
      <c r="J46" s="92">
        <f>1662.22+7147.99</f>
        <v>8810.2099999999991</v>
      </c>
      <c r="K46" s="92">
        <f>13465.68+15033.26+546.77</f>
        <v>29045.710000000003</v>
      </c>
      <c r="L46" s="92">
        <f>170480+69969</f>
        <v>240449</v>
      </c>
      <c r="M46" s="92">
        <f>58834+178691+32</f>
        <v>237557</v>
      </c>
      <c r="N46" s="92">
        <f>25294+106159+13548</f>
        <v>145001</v>
      </c>
      <c r="O46" s="92">
        <f>4764.78+5057.31</f>
        <v>9822.09</v>
      </c>
      <c r="P46" s="92"/>
      <c r="Q46" s="92">
        <f>1322+3431</f>
        <v>4753</v>
      </c>
      <c r="R46" s="92">
        <v>48830</v>
      </c>
      <c r="S46" s="92">
        <v>80771</v>
      </c>
      <c r="T46" s="92">
        <f>174940.84+326706.87+34106.75</f>
        <v>535754.46</v>
      </c>
      <c r="U46" s="92">
        <f>401+352</f>
        <v>753</v>
      </c>
      <c r="V46" s="92">
        <f>785+177</f>
        <v>962</v>
      </c>
      <c r="W46" s="92">
        <f>13328+44246+5992</f>
        <v>63566</v>
      </c>
      <c r="X46" s="92">
        <f>12592+11529</f>
        <v>24121</v>
      </c>
      <c r="Y46" s="92">
        <f>15597+89492+20105</f>
        <v>125194</v>
      </c>
      <c r="Z46" s="92">
        <f>455+141+171</f>
        <v>767</v>
      </c>
      <c r="AA46" s="92">
        <f>568683+106838-2</f>
        <v>675519</v>
      </c>
      <c r="AB46" s="92">
        <f>27638+49856+146</f>
        <v>77640</v>
      </c>
      <c r="AC46" s="92"/>
      <c r="AD46" s="92">
        <v>597334</v>
      </c>
      <c r="AE46" s="92">
        <f>124976+248874+181842</f>
        <v>555692</v>
      </c>
      <c r="AF46" s="92">
        <f>13171+10598</f>
        <v>23769</v>
      </c>
    </row>
    <row r="47" spans="1:32" x14ac:dyDescent="0.25">
      <c r="A47" s="92" t="s">
        <v>259</v>
      </c>
      <c r="B47" s="92">
        <v>1067</v>
      </c>
      <c r="C47" s="92">
        <v>1984</v>
      </c>
      <c r="D47" s="92"/>
      <c r="E47" s="92">
        <f>5016-320-2861</f>
        <v>1835</v>
      </c>
      <c r="F47" s="92">
        <f>-4460+3240+4362</f>
        <v>3142</v>
      </c>
      <c r="G47" s="92">
        <f>164+5637</f>
        <v>5801</v>
      </c>
      <c r="H47" s="92">
        <f>2387+96</f>
        <v>2483</v>
      </c>
      <c r="I47" s="92"/>
      <c r="J47" s="92">
        <f>58.41-293.16</f>
        <v>-234.75000000000003</v>
      </c>
      <c r="K47" s="92">
        <f>1460.14-1315.79-2.23</f>
        <v>142.12000000000015</v>
      </c>
      <c r="L47" s="92">
        <f>9528-15519</f>
        <v>-5991</v>
      </c>
      <c r="M47" s="92">
        <f>6499-2258-10</f>
        <v>4231</v>
      </c>
      <c r="N47" s="92">
        <f>2410+3947-124</f>
        <v>6233</v>
      </c>
      <c r="O47" s="92">
        <f>497.34-299.43</f>
        <v>197.90999999999997</v>
      </c>
      <c r="P47" s="92"/>
      <c r="Q47" s="92">
        <f>138+224</f>
        <v>362</v>
      </c>
      <c r="R47" s="92">
        <v>6886</v>
      </c>
      <c r="S47" s="92">
        <v>4966</v>
      </c>
      <c r="T47" s="92">
        <f>8877.15+16110.94+1389.79</f>
        <v>26377.88</v>
      </c>
      <c r="U47" s="92">
        <v>130</v>
      </c>
      <c r="V47" s="92">
        <f>19+15</f>
        <v>34</v>
      </c>
      <c r="W47" s="92">
        <f>1586-421-61</f>
        <v>1104</v>
      </c>
      <c r="X47" s="92">
        <f>1370+1109</f>
        <v>2479</v>
      </c>
      <c r="Y47" s="92">
        <f>3561-2437-4</f>
        <v>1120</v>
      </c>
      <c r="Z47" s="92">
        <f>184+9-3</f>
        <v>190</v>
      </c>
      <c r="AA47" s="92">
        <f>92499+5996</f>
        <v>98495</v>
      </c>
      <c r="AB47" s="92">
        <f>4685+1936+12</f>
        <v>6633</v>
      </c>
      <c r="AC47" s="92"/>
      <c r="AD47" s="92">
        <v>27542</v>
      </c>
      <c r="AE47" s="92">
        <f>11660+5806</f>
        <v>17466</v>
      </c>
      <c r="AF47" s="92">
        <f>1484+1103</f>
        <v>2587</v>
      </c>
    </row>
    <row r="48" spans="1:32" x14ac:dyDescent="0.25">
      <c r="A48" s="92" t="s">
        <v>260</v>
      </c>
      <c r="B48" s="92">
        <f>119+22605</f>
        <v>22724</v>
      </c>
      <c r="C48" s="92">
        <v>50544</v>
      </c>
      <c r="D48" s="92"/>
      <c r="E48" s="92">
        <f>14045+22696+9087</f>
        <v>45828</v>
      </c>
      <c r="F48" s="92">
        <f>44603+11381+9280</f>
        <v>65264</v>
      </c>
      <c r="G48" s="92">
        <f>2726+14523+1</f>
        <v>17250</v>
      </c>
      <c r="H48" s="92">
        <f>8901+581</f>
        <v>9482</v>
      </c>
      <c r="I48" s="92"/>
      <c r="J48" s="92">
        <f>551.73+4149.04</f>
        <v>4700.7700000000004</v>
      </c>
      <c r="K48" s="92">
        <f>4015.77+5607.9+0.54</f>
        <v>9624.2100000000009</v>
      </c>
      <c r="L48" s="92">
        <f>32284+16139</f>
        <v>48423</v>
      </c>
      <c r="M48" s="92">
        <f>23595+49858+120</f>
        <v>73573</v>
      </c>
      <c r="N48" s="92">
        <f>2276+15845+1401</f>
        <v>19522</v>
      </c>
      <c r="O48" s="92">
        <f>1856.26+3930.06</f>
        <v>5786.32</v>
      </c>
      <c r="P48" s="92"/>
      <c r="Q48" s="92">
        <f>911+2337</f>
        <v>3248</v>
      </c>
      <c r="R48" s="92">
        <v>28653</v>
      </c>
      <c r="S48" s="92">
        <v>56175</v>
      </c>
      <c r="T48" s="92">
        <f>31672.05+57703.42+6214.31</f>
        <v>95589.78</v>
      </c>
      <c r="U48" s="92">
        <f>1883+1628</f>
        <v>3511</v>
      </c>
      <c r="V48" s="92">
        <f>60+106</f>
        <v>166</v>
      </c>
      <c r="W48" s="92">
        <f>4752+17853+1290</f>
        <v>23895</v>
      </c>
      <c r="X48" s="92">
        <f>3347+2286</f>
        <v>5633</v>
      </c>
      <c r="Y48" s="92">
        <f>4350+21953+2892</f>
        <v>29195</v>
      </c>
      <c r="Z48" s="92">
        <f>272+403</f>
        <v>675</v>
      </c>
      <c r="AA48" s="92">
        <f>113525+15691</f>
        <v>129216</v>
      </c>
      <c r="AB48" s="92">
        <f>11275+20324+117</f>
        <v>31716</v>
      </c>
      <c r="AC48" s="92"/>
      <c r="AD48" s="92">
        <v>104003</v>
      </c>
      <c r="AE48" s="92">
        <f>23788+59261+24311</f>
        <v>107360</v>
      </c>
      <c r="AF48" s="92">
        <f>1759.24+2454.85</f>
        <v>4214.09</v>
      </c>
    </row>
    <row r="49" spans="1:32" x14ac:dyDescent="0.25">
      <c r="A49" s="92" t="s">
        <v>261</v>
      </c>
      <c r="B49" s="92"/>
      <c r="C49" s="92"/>
      <c r="D49" s="92"/>
      <c r="E49" s="92"/>
      <c r="F49" s="92">
        <f>-7721-3350-1841</f>
        <v>-12912</v>
      </c>
      <c r="G49" s="92"/>
      <c r="H49" s="92"/>
      <c r="I49" s="92"/>
      <c r="J49" s="92">
        <f>-174.25-162.84</f>
        <v>-337.09000000000003</v>
      </c>
      <c r="K49" s="92"/>
      <c r="L49" s="92"/>
      <c r="M49" s="92"/>
      <c r="N49" s="92"/>
      <c r="O49" s="92"/>
      <c r="P49" s="92"/>
      <c r="Q49" s="92"/>
      <c r="R49" s="92"/>
      <c r="S49" s="92"/>
      <c r="T49" s="92">
        <v>1365</v>
      </c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</row>
    <row r="50" spans="1:32" x14ac:dyDescent="0.25">
      <c r="A50" s="92" t="s">
        <v>257</v>
      </c>
      <c r="B50" s="92">
        <f t="shared" ref="B50:AF50" si="10">B45-B46-B47-B48-B49</f>
        <v>-27054</v>
      </c>
      <c r="C50" s="92">
        <f t="shared" si="10"/>
        <v>-34961</v>
      </c>
      <c r="D50" s="92"/>
      <c r="E50" s="92">
        <f t="shared" si="10"/>
        <v>-38207</v>
      </c>
      <c r="F50" s="92">
        <f t="shared" si="10"/>
        <v>-29216</v>
      </c>
      <c r="G50" s="92">
        <f t="shared" si="10"/>
        <v>-33747</v>
      </c>
      <c r="H50" s="92">
        <f t="shared" si="10"/>
        <v>-1460</v>
      </c>
      <c r="I50" s="92"/>
      <c r="J50" s="92">
        <f t="shared" si="10"/>
        <v>-5469.6299999999992</v>
      </c>
      <c r="K50" s="92">
        <f t="shared" si="10"/>
        <v>-7237.5600000000049</v>
      </c>
      <c r="L50" s="92">
        <f t="shared" si="10"/>
        <v>-53342</v>
      </c>
      <c r="M50" s="92">
        <f t="shared" si="10"/>
        <v>-71265</v>
      </c>
      <c r="N50" s="92">
        <f t="shared" si="10"/>
        <v>-59781</v>
      </c>
      <c r="O50" s="92">
        <f t="shared" si="10"/>
        <v>-2519.1100000000006</v>
      </c>
      <c r="P50" s="92">
        <f t="shared" si="10"/>
        <v>0</v>
      </c>
      <c r="Q50" s="92">
        <f t="shared" si="10"/>
        <v>-1874</v>
      </c>
      <c r="R50" s="92">
        <f t="shared" si="10"/>
        <v>-26619</v>
      </c>
      <c r="S50" s="92">
        <f t="shared" si="10"/>
        <v>-23681</v>
      </c>
      <c r="T50" s="92">
        <f t="shared" si="10"/>
        <v>-216542.71</v>
      </c>
      <c r="U50" s="92">
        <f t="shared" si="10"/>
        <v>-1964</v>
      </c>
      <c r="V50" s="92">
        <f t="shared" si="10"/>
        <v>-275</v>
      </c>
      <c r="W50" s="92">
        <f t="shared" si="10"/>
        <v>-29387</v>
      </c>
      <c r="X50" s="92">
        <f t="shared" si="10"/>
        <v>-5824</v>
      </c>
      <c r="Y50" s="92">
        <f t="shared" si="10"/>
        <v>-15319</v>
      </c>
      <c r="Z50" s="92">
        <f t="shared" si="10"/>
        <v>-417</v>
      </c>
      <c r="AA50" s="92">
        <f t="shared" si="10"/>
        <v>-184431</v>
      </c>
      <c r="AB50" s="92">
        <f t="shared" si="10"/>
        <v>-28847</v>
      </c>
      <c r="AC50" s="92"/>
      <c r="AD50" s="92">
        <f t="shared" si="10"/>
        <v>-294739</v>
      </c>
      <c r="AE50" s="92">
        <f t="shared" si="10"/>
        <v>-273641</v>
      </c>
      <c r="AF50" s="92">
        <f t="shared" si="10"/>
        <v>-12190.09</v>
      </c>
    </row>
    <row r="51" spans="1:32" x14ac:dyDescent="0.25">
      <c r="A51" s="92" t="s">
        <v>258</v>
      </c>
      <c r="B51" s="91">
        <f t="shared" ref="B51:AF51" si="11">B50*100/B45</f>
        <v>-135.62941795758761</v>
      </c>
      <c r="C51" s="91">
        <f t="shared" si="11"/>
        <v>-44.315012929067585</v>
      </c>
      <c r="D51" s="91"/>
      <c r="E51" s="91">
        <f t="shared" si="11"/>
        <v>-24.818120404292358</v>
      </c>
      <c r="F51" s="91">
        <f t="shared" si="11"/>
        <v>-19.143847509714114</v>
      </c>
      <c r="G51" s="91">
        <f t="shared" si="11"/>
        <v>-90.768982490115391</v>
      </c>
      <c r="H51" s="91">
        <f t="shared" si="11"/>
        <v>-5.6902330657104994</v>
      </c>
      <c r="I51" s="91"/>
      <c r="J51" s="91">
        <f t="shared" si="11"/>
        <v>-73.226088458279037</v>
      </c>
      <c r="K51" s="91">
        <f t="shared" si="11"/>
        <v>-22.922182724782814</v>
      </c>
      <c r="L51" s="91">
        <f t="shared" si="11"/>
        <v>-23.238752456009653</v>
      </c>
      <c r="M51" s="91">
        <f t="shared" si="11"/>
        <v>-29.195480466701625</v>
      </c>
      <c r="N51" s="91">
        <f t="shared" si="11"/>
        <v>-53.868889389502144</v>
      </c>
      <c r="O51" s="91">
        <f t="shared" si="11"/>
        <v>-18.958908604590434</v>
      </c>
      <c r="P51" s="91" t="e">
        <f t="shared" si="11"/>
        <v>#DIV/0!</v>
      </c>
      <c r="Q51" s="91">
        <f t="shared" si="11"/>
        <v>-28.879642471875481</v>
      </c>
      <c r="R51" s="91">
        <f t="shared" si="11"/>
        <v>-46.093506493506496</v>
      </c>
      <c r="S51" s="91">
        <f t="shared" si="11"/>
        <v>-20.029433904813459</v>
      </c>
      <c r="T51" s="91">
        <f t="shared" si="11"/>
        <v>-48.931294827563185</v>
      </c>
      <c r="U51" s="91">
        <f t="shared" si="11"/>
        <v>-80.823045267489718</v>
      </c>
      <c r="V51" s="91">
        <f t="shared" si="11"/>
        <v>-31.00338218714769</v>
      </c>
      <c r="W51" s="91">
        <f t="shared" si="11"/>
        <v>-49.658656933319811</v>
      </c>
      <c r="X51" s="91">
        <f t="shared" si="11"/>
        <v>-22.053087962437047</v>
      </c>
      <c r="Y51" s="91">
        <f t="shared" si="11"/>
        <v>-10.927312932448819</v>
      </c>
      <c r="Z51" s="91">
        <f t="shared" si="11"/>
        <v>-34.320987654320987</v>
      </c>
      <c r="AA51" s="91">
        <f t="shared" si="11"/>
        <v>-25.658215996405115</v>
      </c>
      <c r="AB51" s="91">
        <f t="shared" si="11"/>
        <v>-33.103440361708479</v>
      </c>
      <c r="AC51" s="91"/>
      <c r="AD51" s="91">
        <f t="shared" si="11"/>
        <v>-67.890311880960056</v>
      </c>
      <c r="AE51" s="91">
        <f t="shared" si="11"/>
        <v>-67.253985848303046</v>
      </c>
      <c r="AF51" s="91">
        <f t="shared" si="11"/>
        <v>-66.32257889009793</v>
      </c>
    </row>
    <row r="53" spans="1:32" x14ac:dyDescent="0.25">
      <c r="A53" s="27" t="s">
        <v>244</v>
      </c>
    </row>
    <row r="54" spans="1:32" x14ac:dyDescent="0.25">
      <c r="A54" s="1" t="s">
        <v>0</v>
      </c>
      <c r="B54" s="109" t="s">
        <v>1</v>
      </c>
      <c r="C54" s="109" t="s">
        <v>234</v>
      </c>
      <c r="D54" s="109" t="s">
        <v>2</v>
      </c>
      <c r="E54" s="109" t="s">
        <v>3</v>
      </c>
      <c r="F54" s="109" t="s">
        <v>243</v>
      </c>
      <c r="G54" s="109" t="s">
        <v>235</v>
      </c>
      <c r="H54" s="109" t="s">
        <v>246</v>
      </c>
      <c r="I54" s="109" t="s">
        <v>5</v>
      </c>
      <c r="J54" s="109" t="s">
        <v>4</v>
      </c>
      <c r="K54" s="109" t="s">
        <v>6</v>
      </c>
      <c r="L54" s="109" t="s">
        <v>7</v>
      </c>
      <c r="M54" s="109" t="s">
        <v>8</v>
      </c>
      <c r="N54" s="109" t="s">
        <v>9</v>
      </c>
      <c r="O54" s="109" t="s">
        <v>242</v>
      </c>
      <c r="P54" s="109" t="s">
        <v>10</v>
      </c>
      <c r="Q54" s="109" t="s">
        <v>11</v>
      </c>
      <c r="R54" s="109" t="s">
        <v>236</v>
      </c>
      <c r="S54" s="109" t="s">
        <v>245</v>
      </c>
      <c r="T54" s="109" t="s">
        <v>12</v>
      </c>
      <c r="U54" s="109" t="s">
        <v>237</v>
      </c>
      <c r="V54" s="109" t="s">
        <v>238</v>
      </c>
      <c r="W54" s="109" t="s">
        <v>241</v>
      </c>
      <c r="X54" s="109" t="s">
        <v>13</v>
      </c>
      <c r="Y54" s="109" t="s">
        <v>14</v>
      </c>
      <c r="Z54" s="109" t="s">
        <v>15</v>
      </c>
      <c r="AA54" s="109" t="s">
        <v>16</v>
      </c>
      <c r="AB54" s="109" t="s">
        <v>17</v>
      </c>
      <c r="AC54" s="108" t="s">
        <v>239</v>
      </c>
      <c r="AD54" s="108" t="s">
        <v>240</v>
      </c>
      <c r="AE54" s="108" t="s">
        <v>18</v>
      </c>
      <c r="AF54" s="109" t="s">
        <v>19</v>
      </c>
    </row>
    <row r="55" spans="1:32" x14ac:dyDescent="0.25">
      <c r="A55" s="92" t="s">
        <v>192</v>
      </c>
      <c r="B55" s="92"/>
      <c r="C55" s="92"/>
      <c r="D55" s="92">
        <v>508183</v>
      </c>
      <c r="E55" s="92">
        <v>32425</v>
      </c>
      <c r="F55" s="92"/>
      <c r="G55" s="92"/>
      <c r="H55" s="92">
        <v>686</v>
      </c>
      <c r="I55" s="92"/>
      <c r="J55" s="92"/>
      <c r="K55" s="92">
        <v>14240.68</v>
      </c>
      <c r="L55" s="92">
        <v>43523</v>
      </c>
      <c r="M55" s="92">
        <v>11185</v>
      </c>
      <c r="N55" s="92">
        <v>17297</v>
      </c>
      <c r="O55" s="92"/>
      <c r="P55" s="92"/>
      <c r="Q55" s="92"/>
      <c r="R55" s="92"/>
      <c r="S55" s="92"/>
      <c r="T55" s="92">
        <v>23718.240000000002</v>
      </c>
      <c r="U55" s="92"/>
      <c r="V55" s="92"/>
      <c r="W55" s="92">
        <v>92306</v>
      </c>
      <c r="X55" s="92"/>
      <c r="Y55" s="92">
        <v>24480</v>
      </c>
      <c r="Z55" s="92"/>
      <c r="AA55" s="92"/>
      <c r="AB55" s="92">
        <v>28</v>
      </c>
      <c r="AC55" s="92"/>
      <c r="AD55" s="92">
        <v>45004</v>
      </c>
      <c r="AE55" s="92">
        <v>34802</v>
      </c>
      <c r="AF55" s="92">
        <v>19345.650000000001</v>
      </c>
    </row>
    <row r="56" spans="1:32" x14ac:dyDescent="0.25">
      <c r="A56" s="92" t="s">
        <v>26</v>
      </c>
      <c r="B56" s="92"/>
      <c r="C56" s="92"/>
      <c r="D56" s="92">
        <v>513974</v>
      </c>
      <c r="E56" s="92">
        <v>23417</v>
      </c>
      <c r="F56" s="92"/>
      <c r="G56" s="92">
        <v>2</v>
      </c>
      <c r="H56" s="92">
        <v>-211</v>
      </c>
      <c r="I56" s="92"/>
      <c r="J56" s="92"/>
      <c r="K56" s="92">
        <v>12958.94</v>
      </c>
      <c r="L56" s="92">
        <v>30357</v>
      </c>
      <c r="M56" s="92">
        <v>11971</v>
      </c>
      <c r="N56" s="92">
        <v>12389</v>
      </c>
      <c r="O56" s="92"/>
      <c r="P56" s="92"/>
      <c r="Q56" s="92"/>
      <c r="R56" s="92"/>
      <c r="S56" s="92"/>
      <c r="T56" s="92">
        <v>9381.9699999999993</v>
      </c>
      <c r="U56" s="92"/>
      <c r="V56" s="92"/>
      <c r="W56" s="92">
        <v>73328</v>
      </c>
      <c r="X56" s="92"/>
      <c r="Y56" s="92">
        <v>31065</v>
      </c>
      <c r="Z56" s="92"/>
      <c r="AA56" s="92"/>
      <c r="AB56" s="92">
        <v>-4973</v>
      </c>
      <c r="AC56" s="92"/>
      <c r="AD56" s="92">
        <v>47305</v>
      </c>
      <c r="AE56" s="92">
        <v>-9859</v>
      </c>
      <c r="AF56" s="92">
        <v>2160.31</v>
      </c>
    </row>
    <row r="57" spans="1:32" x14ac:dyDescent="0.25">
      <c r="A57" s="92" t="s">
        <v>259</v>
      </c>
      <c r="B57" s="92"/>
      <c r="C57" s="92"/>
      <c r="D57" s="92">
        <v>-14737</v>
      </c>
      <c r="E57" s="92">
        <v>-8788</v>
      </c>
      <c r="F57" s="92"/>
      <c r="G57" s="92">
        <v>-3</v>
      </c>
      <c r="H57" s="92">
        <v>-3</v>
      </c>
      <c r="I57" s="92"/>
      <c r="J57" s="92"/>
      <c r="K57" s="92">
        <v>-3514.67</v>
      </c>
      <c r="L57" s="92">
        <v>-9887</v>
      </c>
      <c r="M57" s="92">
        <v>-3450</v>
      </c>
      <c r="N57" s="92">
        <v>-3622</v>
      </c>
      <c r="O57" s="92"/>
      <c r="P57" s="92"/>
      <c r="Q57" s="92"/>
      <c r="R57" s="92"/>
      <c r="S57" s="92"/>
      <c r="T57" s="92">
        <v>-429.25</v>
      </c>
      <c r="U57" s="92"/>
      <c r="V57" s="92"/>
      <c r="W57" s="92">
        <v>-10076</v>
      </c>
      <c r="X57" s="92">
        <v>-200</v>
      </c>
      <c r="Y57" s="92">
        <v>-4973</v>
      </c>
      <c r="Z57" s="92"/>
      <c r="AA57" s="92"/>
      <c r="AB57" s="92">
        <v>-23</v>
      </c>
      <c r="AC57" s="92"/>
      <c r="AD57" s="92">
        <v>2955</v>
      </c>
      <c r="AE57" s="92">
        <v>1705</v>
      </c>
      <c r="AF57" s="92">
        <v>-4018.52</v>
      </c>
    </row>
    <row r="58" spans="1:32" x14ac:dyDescent="0.25">
      <c r="A58" s="92" t="s">
        <v>260</v>
      </c>
      <c r="B58" s="92"/>
      <c r="C58" s="92"/>
      <c r="D58" s="92">
        <v>24188</v>
      </c>
      <c r="E58" s="92">
        <v>4839</v>
      </c>
      <c r="F58" s="92"/>
      <c r="G58" s="92"/>
      <c r="H58" s="92">
        <v>206</v>
      </c>
      <c r="I58" s="92"/>
      <c r="J58" s="92"/>
      <c r="K58" s="92">
        <v>9677.15</v>
      </c>
      <c r="L58" s="92">
        <v>29143</v>
      </c>
      <c r="M58" s="92">
        <v>2349</v>
      </c>
      <c r="N58" s="92">
        <v>2751</v>
      </c>
      <c r="O58" s="92"/>
      <c r="P58" s="92"/>
      <c r="Q58" s="92"/>
      <c r="R58" s="92"/>
      <c r="S58" s="92"/>
      <c r="T58" s="92">
        <v>1079.56</v>
      </c>
      <c r="U58" s="92"/>
      <c r="V58" s="92"/>
      <c r="W58" s="92">
        <v>15885</v>
      </c>
      <c r="X58" s="92">
        <v>1</v>
      </c>
      <c r="Y58" s="92">
        <v>9480</v>
      </c>
      <c r="Z58" s="92"/>
      <c r="AA58" s="92"/>
      <c r="AB58" s="92">
        <v>1504</v>
      </c>
      <c r="AC58" s="92"/>
      <c r="AD58" s="92">
        <v>6676</v>
      </c>
      <c r="AE58" s="92">
        <v>-173</v>
      </c>
      <c r="AF58" s="92">
        <v>3890.71</v>
      </c>
    </row>
    <row r="59" spans="1:32" x14ac:dyDescent="0.25">
      <c r="A59" s="92" t="s">
        <v>261</v>
      </c>
      <c r="B59" s="92"/>
      <c r="C59" s="92"/>
      <c r="D59" s="92">
        <v>-8000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</row>
    <row r="60" spans="1:32" x14ac:dyDescent="0.25">
      <c r="A60" s="92" t="s">
        <v>257</v>
      </c>
      <c r="B60" s="92"/>
      <c r="C60" s="92"/>
      <c r="D60" s="92">
        <f t="shared" ref="D60:AF60" si="12">D55-D56-D57-D58-D59</f>
        <v>-7242</v>
      </c>
      <c r="E60" s="92">
        <f t="shared" si="12"/>
        <v>12957</v>
      </c>
      <c r="F60" s="92"/>
      <c r="G60" s="92">
        <f t="shared" si="12"/>
        <v>1</v>
      </c>
      <c r="H60" s="92">
        <f t="shared" si="12"/>
        <v>694</v>
      </c>
      <c r="I60" s="92"/>
      <c r="J60" s="92"/>
      <c r="K60" s="92">
        <f t="shared" si="12"/>
        <v>-4880.74</v>
      </c>
      <c r="L60" s="92">
        <f t="shared" si="12"/>
        <v>-6090</v>
      </c>
      <c r="M60" s="92">
        <f t="shared" si="12"/>
        <v>315</v>
      </c>
      <c r="N60" s="92">
        <f t="shared" si="12"/>
        <v>5779</v>
      </c>
      <c r="O60" s="92"/>
      <c r="P60" s="92">
        <f t="shared" si="12"/>
        <v>0</v>
      </c>
      <c r="Q60" s="92"/>
      <c r="R60" s="92"/>
      <c r="S60" s="92"/>
      <c r="T60" s="92">
        <f t="shared" si="12"/>
        <v>13685.960000000003</v>
      </c>
      <c r="U60" s="92"/>
      <c r="V60" s="92"/>
      <c r="W60" s="92">
        <f t="shared" si="12"/>
        <v>13169</v>
      </c>
      <c r="X60" s="92">
        <f t="shared" si="12"/>
        <v>199</v>
      </c>
      <c r="Y60" s="92">
        <f t="shared" si="12"/>
        <v>-11092</v>
      </c>
      <c r="Z60" s="92"/>
      <c r="AA60" s="92"/>
      <c r="AB60" s="92">
        <f t="shared" si="12"/>
        <v>3520</v>
      </c>
      <c r="AC60" s="92"/>
      <c r="AD60" s="92">
        <f t="shared" ref="AD60" si="13">AD55-AD56-AD57-AD58-AD59</f>
        <v>-11932</v>
      </c>
      <c r="AE60" s="92">
        <f t="shared" si="12"/>
        <v>43129</v>
      </c>
      <c r="AF60" s="92">
        <f t="shared" si="12"/>
        <v>17313.150000000001</v>
      </c>
    </row>
    <row r="61" spans="1:32" x14ac:dyDescent="0.25">
      <c r="A61" s="92" t="s">
        <v>258</v>
      </c>
      <c r="B61" s="91"/>
      <c r="C61" s="91"/>
      <c r="D61" s="91">
        <f t="shared" ref="D61:AF61" si="14">D60*100/D55</f>
        <v>-1.425077186761462</v>
      </c>
      <c r="E61" s="91">
        <f t="shared" si="14"/>
        <v>39.959907478797227</v>
      </c>
      <c r="F61" s="91"/>
      <c r="G61" s="91"/>
      <c r="H61" s="91">
        <f t="shared" si="14"/>
        <v>101.16618075801749</v>
      </c>
      <c r="I61" s="91"/>
      <c r="J61" s="91"/>
      <c r="K61" s="91">
        <f t="shared" si="14"/>
        <v>-34.273222907894848</v>
      </c>
      <c r="L61" s="91">
        <f t="shared" si="14"/>
        <v>-13.992601612940284</v>
      </c>
      <c r="M61" s="91">
        <f t="shared" si="14"/>
        <v>2.8162717925793475</v>
      </c>
      <c r="N61" s="91">
        <f t="shared" si="14"/>
        <v>33.410417991559228</v>
      </c>
      <c r="O61" s="91"/>
      <c r="P61" s="91" t="e">
        <f t="shared" si="14"/>
        <v>#DIV/0!</v>
      </c>
      <c r="Q61" s="91"/>
      <c r="R61" s="91"/>
      <c r="S61" s="91"/>
      <c r="T61" s="91">
        <f t="shared" si="14"/>
        <v>57.702257840379396</v>
      </c>
      <c r="U61" s="91"/>
      <c r="V61" s="91"/>
      <c r="W61" s="91">
        <f t="shared" si="14"/>
        <v>14.266678222434077</v>
      </c>
      <c r="X61" s="91" t="e">
        <f t="shared" si="14"/>
        <v>#DIV/0!</v>
      </c>
      <c r="Y61" s="91">
        <f t="shared" si="14"/>
        <v>-45.310457516339866</v>
      </c>
      <c r="Z61" s="91"/>
      <c r="AA61" s="91"/>
      <c r="AB61" s="91">
        <f t="shared" si="14"/>
        <v>12571.428571428571</v>
      </c>
      <c r="AC61" s="91"/>
      <c r="AD61" s="91">
        <f t="shared" ref="AD61" si="15">AD60*100/AD55</f>
        <v>-26.513198826770953</v>
      </c>
      <c r="AE61" s="91">
        <f t="shared" si="14"/>
        <v>123.92678581690707</v>
      </c>
      <c r="AF61" s="91">
        <f t="shared" si="14"/>
        <v>89.493762163587164</v>
      </c>
    </row>
    <row r="63" spans="1:32" x14ac:dyDescent="0.25">
      <c r="A63" s="27" t="s">
        <v>188</v>
      </c>
    </row>
    <row r="64" spans="1:32" x14ac:dyDescent="0.25">
      <c r="A64" s="1" t="s">
        <v>0</v>
      </c>
      <c r="B64" s="109" t="s">
        <v>1</v>
      </c>
      <c r="C64" s="109" t="s">
        <v>234</v>
      </c>
      <c r="D64" s="109" t="s">
        <v>2</v>
      </c>
      <c r="E64" s="109" t="s">
        <v>3</v>
      </c>
      <c r="F64" s="109" t="s">
        <v>243</v>
      </c>
      <c r="G64" s="109" t="s">
        <v>235</v>
      </c>
      <c r="H64" s="109" t="s">
        <v>246</v>
      </c>
      <c r="I64" s="109" t="s">
        <v>5</v>
      </c>
      <c r="J64" s="109" t="s">
        <v>4</v>
      </c>
      <c r="K64" s="109" t="s">
        <v>6</v>
      </c>
      <c r="L64" s="109" t="s">
        <v>7</v>
      </c>
      <c r="M64" s="109" t="s">
        <v>8</v>
      </c>
      <c r="N64" s="109" t="s">
        <v>9</v>
      </c>
      <c r="O64" s="109" t="s">
        <v>242</v>
      </c>
      <c r="P64" s="109" t="s">
        <v>10</v>
      </c>
      <c r="Q64" s="109" t="s">
        <v>11</v>
      </c>
      <c r="R64" s="109" t="s">
        <v>236</v>
      </c>
      <c r="S64" s="109" t="s">
        <v>245</v>
      </c>
      <c r="T64" s="109" t="s">
        <v>12</v>
      </c>
      <c r="U64" s="109" t="s">
        <v>237</v>
      </c>
      <c r="V64" s="109" t="s">
        <v>238</v>
      </c>
      <c r="W64" s="109" t="s">
        <v>241</v>
      </c>
      <c r="X64" s="109" t="s">
        <v>13</v>
      </c>
      <c r="Y64" s="109" t="s">
        <v>14</v>
      </c>
      <c r="Z64" s="109" t="s">
        <v>15</v>
      </c>
      <c r="AA64" s="109" t="s">
        <v>16</v>
      </c>
      <c r="AB64" s="109" t="s">
        <v>17</v>
      </c>
      <c r="AC64" s="108" t="s">
        <v>239</v>
      </c>
      <c r="AD64" s="108" t="s">
        <v>240</v>
      </c>
      <c r="AE64" s="108" t="s">
        <v>18</v>
      </c>
      <c r="AF64" s="109" t="s">
        <v>19</v>
      </c>
    </row>
    <row r="65" spans="1:32" x14ac:dyDescent="0.25">
      <c r="A65" s="92" t="s">
        <v>192</v>
      </c>
      <c r="B65" s="92"/>
      <c r="C65" s="92"/>
      <c r="D65" s="92"/>
      <c r="E65" s="92">
        <v>-28</v>
      </c>
      <c r="F65" s="92"/>
      <c r="G65" s="92"/>
      <c r="H65" s="92"/>
      <c r="I65" s="92"/>
      <c r="J65" s="92"/>
      <c r="K65" s="92">
        <v>336.45</v>
      </c>
      <c r="L65" s="92">
        <v>1</v>
      </c>
      <c r="M65" s="92">
        <v>2124</v>
      </c>
      <c r="N65" s="92"/>
      <c r="O65" s="92"/>
      <c r="P65" s="92"/>
      <c r="Q65" s="92"/>
      <c r="R65" s="92"/>
      <c r="S65" s="92"/>
      <c r="T65" s="92">
        <v>4329.03</v>
      </c>
      <c r="U65" s="92"/>
      <c r="V65" s="92"/>
      <c r="W65" s="92">
        <v>664</v>
      </c>
      <c r="X65" s="92"/>
      <c r="Y65" s="92"/>
      <c r="Z65" s="92"/>
      <c r="AA65" s="92"/>
      <c r="AB65" s="92"/>
      <c r="AC65" s="92"/>
      <c r="AD65" s="92">
        <v>11932</v>
      </c>
      <c r="AE65" s="92">
        <v>1295</v>
      </c>
      <c r="AF65" s="92"/>
    </row>
    <row r="66" spans="1:32" x14ac:dyDescent="0.25">
      <c r="A66" s="92" t="s">
        <v>26</v>
      </c>
      <c r="B66" s="92"/>
      <c r="C66" s="92"/>
      <c r="D66" s="92"/>
      <c r="E66" s="92">
        <v>-30</v>
      </c>
      <c r="F66" s="92"/>
      <c r="G66" s="92"/>
      <c r="H66" s="92"/>
      <c r="I66" s="92"/>
      <c r="J66" s="92"/>
      <c r="K66" s="92">
        <v>193.2</v>
      </c>
      <c r="L66" s="92">
        <v>-208</v>
      </c>
      <c r="M66" s="92">
        <v>1759</v>
      </c>
      <c r="N66" s="92"/>
      <c r="O66" s="92"/>
      <c r="P66" s="92"/>
      <c r="Q66" s="92"/>
      <c r="R66" s="92"/>
      <c r="S66" s="92"/>
      <c r="T66" s="92">
        <v>6356.92</v>
      </c>
      <c r="U66" s="92"/>
      <c r="V66" s="92"/>
      <c r="W66" s="92">
        <v>760</v>
      </c>
      <c r="X66" s="92"/>
      <c r="Y66" s="92"/>
      <c r="Z66" s="92"/>
      <c r="AA66" s="92"/>
      <c r="AB66" s="92">
        <v>-22</v>
      </c>
      <c r="AC66" s="92"/>
      <c r="AD66" s="92">
        <v>3656</v>
      </c>
      <c r="AE66" s="92">
        <v>1340</v>
      </c>
      <c r="AF66" s="92"/>
    </row>
    <row r="67" spans="1:32" x14ac:dyDescent="0.25">
      <c r="A67" s="92" t="s">
        <v>259</v>
      </c>
      <c r="B67" s="92"/>
      <c r="C67" s="92"/>
      <c r="D67" s="92"/>
      <c r="E67" s="92">
        <v>53</v>
      </c>
      <c r="F67" s="92"/>
      <c r="G67" s="92"/>
      <c r="H67" s="92"/>
      <c r="I67" s="92"/>
      <c r="J67" s="92"/>
      <c r="K67" s="92">
        <v>-1.08</v>
      </c>
      <c r="L67" s="92">
        <v>-37</v>
      </c>
      <c r="M67" s="92">
        <v>91</v>
      </c>
      <c r="N67" s="92"/>
      <c r="O67" s="92"/>
      <c r="P67" s="92"/>
      <c r="Q67" s="92"/>
      <c r="R67" s="92"/>
      <c r="S67" s="92"/>
      <c r="T67" s="92">
        <v>521.95000000000005</v>
      </c>
      <c r="U67" s="92"/>
      <c r="V67" s="92"/>
      <c r="W67" s="92">
        <v>-104</v>
      </c>
      <c r="X67" s="92"/>
      <c r="Y67" s="92">
        <v>1</v>
      </c>
      <c r="Z67" s="92"/>
      <c r="AA67" s="92"/>
      <c r="AB67" s="92"/>
      <c r="AC67" s="92"/>
      <c r="AD67" s="92">
        <v>143</v>
      </c>
      <c r="AE67" s="92">
        <v>115</v>
      </c>
      <c r="AF67" s="92"/>
    </row>
    <row r="68" spans="1:32" x14ac:dyDescent="0.25">
      <c r="A68" s="92" t="s">
        <v>260</v>
      </c>
      <c r="B68" s="92"/>
      <c r="C68" s="92"/>
      <c r="D68" s="92"/>
      <c r="E68" s="92">
        <v>151</v>
      </c>
      <c r="F68" s="92"/>
      <c r="G68" s="92"/>
      <c r="H68" s="92"/>
      <c r="I68" s="92"/>
      <c r="J68" s="92"/>
      <c r="K68" s="92">
        <v>32.51</v>
      </c>
      <c r="L68" s="92">
        <v>229</v>
      </c>
      <c r="M68" s="92">
        <v>166</v>
      </c>
      <c r="N68" s="92"/>
      <c r="O68" s="92"/>
      <c r="P68" s="92"/>
      <c r="Q68" s="92"/>
      <c r="R68" s="92"/>
      <c r="S68" s="92"/>
      <c r="T68" s="92">
        <v>1284.51</v>
      </c>
      <c r="U68" s="92"/>
      <c r="V68" s="92"/>
      <c r="W68" s="92">
        <v>252</v>
      </c>
      <c r="X68" s="92"/>
      <c r="Y68" s="92"/>
      <c r="Z68" s="92"/>
      <c r="AA68" s="92"/>
      <c r="AB68" s="92">
        <v>245</v>
      </c>
      <c r="AC68" s="92"/>
      <c r="AD68" s="92">
        <v>4234</v>
      </c>
      <c r="AE68" s="92">
        <v>2349</v>
      </c>
      <c r="AF68" s="92"/>
    </row>
    <row r="69" spans="1:32" x14ac:dyDescent="0.25">
      <c r="A69" s="92" t="s">
        <v>261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</row>
    <row r="70" spans="1:32" x14ac:dyDescent="0.25">
      <c r="A70" s="92" t="s">
        <v>257</v>
      </c>
      <c r="B70" s="92"/>
      <c r="C70" s="92"/>
      <c r="D70" s="92"/>
      <c r="E70" s="92">
        <f t="shared" ref="E70:AE70" si="16">E65-E66-E67-E68-E69</f>
        <v>-202</v>
      </c>
      <c r="F70" s="92"/>
      <c r="G70" s="92"/>
      <c r="H70" s="92">
        <f t="shared" si="16"/>
        <v>0</v>
      </c>
      <c r="I70" s="92"/>
      <c r="J70" s="92"/>
      <c r="K70" s="92">
        <f t="shared" si="16"/>
        <v>111.82000000000002</v>
      </c>
      <c r="L70" s="92">
        <f t="shared" si="16"/>
        <v>17</v>
      </c>
      <c r="M70" s="92">
        <f t="shared" si="16"/>
        <v>108</v>
      </c>
      <c r="N70" s="92"/>
      <c r="O70" s="92"/>
      <c r="P70" s="92">
        <f t="shared" si="16"/>
        <v>0</v>
      </c>
      <c r="Q70" s="92"/>
      <c r="R70" s="92"/>
      <c r="S70" s="92"/>
      <c r="T70" s="92">
        <f t="shared" si="16"/>
        <v>-3834.3500000000004</v>
      </c>
      <c r="U70" s="92"/>
      <c r="V70" s="92"/>
      <c r="W70" s="92">
        <f t="shared" si="16"/>
        <v>-244</v>
      </c>
      <c r="X70" s="92"/>
      <c r="Y70" s="92">
        <f t="shared" si="16"/>
        <v>-1</v>
      </c>
      <c r="Z70" s="92"/>
      <c r="AA70" s="92"/>
      <c r="AB70" s="92">
        <f t="shared" si="16"/>
        <v>-223</v>
      </c>
      <c r="AC70" s="92"/>
      <c r="AD70" s="92">
        <f t="shared" si="16"/>
        <v>3899</v>
      </c>
      <c r="AE70" s="92">
        <f t="shared" si="16"/>
        <v>-2509</v>
      </c>
      <c r="AF70" s="92"/>
    </row>
    <row r="71" spans="1:32" x14ac:dyDescent="0.25">
      <c r="A71" s="92" t="s">
        <v>258</v>
      </c>
      <c r="B71" s="91"/>
      <c r="C71" s="91"/>
      <c r="D71" s="91"/>
      <c r="E71" s="91">
        <f t="shared" ref="E71:AE71" si="17">E70*100/E65</f>
        <v>721.42857142857144</v>
      </c>
      <c r="F71" s="91"/>
      <c r="G71" s="91"/>
      <c r="H71" s="91" t="e">
        <f t="shared" si="17"/>
        <v>#DIV/0!</v>
      </c>
      <c r="I71" s="91"/>
      <c r="J71" s="91"/>
      <c r="K71" s="91">
        <f t="shared" si="17"/>
        <v>33.235250408678858</v>
      </c>
      <c r="L71" s="91">
        <v>1836.7</v>
      </c>
      <c r="M71" s="91">
        <f t="shared" si="17"/>
        <v>5.0847457627118642</v>
      </c>
      <c r="N71" s="91"/>
      <c r="O71" s="91"/>
      <c r="P71" s="91" t="e">
        <f t="shared" si="17"/>
        <v>#DIV/0!</v>
      </c>
      <c r="Q71" s="91"/>
      <c r="R71" s="91"/>
      <c r="S71" s="91"/>
      <c r="T71" s="91">
        <f t="shared" si="17"/>
        <v>-88.572959762348631</v>
      </c>
      <c r="U71" s="91"/>
      <c r="V71" s="91"/>
      <c r="W71" s="91">
        <f t="shared" si="17"/>
        <v>-36.746987951807228</v>
      </c>
      <c r="X71" s="91"/>
      <c r="Y71" s="91"/>
      <c r="Z71" s="91"/>
      <c r="AA71" s="91"/>
      <c r="AB71" s="91" t="e">
        <f t="shared" si="17"/>
        <v>#DIV/0!</v>
      </c>
      <c r="AC71" s="91"/>
      <c r="AD71" s="91">
        <f t="shared" si="17"/>
        <v>32.676835400603416</v>
      </c>
      <c r="AE71" s="91">
        <f t="shared" si="17"/>
        <v>-193.74517374517376</v>
      </c>
      <c r="AF71" s="91"/>
    </row>
    <row r="73" spans="1:32" x14ac:dyDescent="0.25">
      <c r="A73" s="27" t="s">
        <v>189</v>
      </c>
    </row>
    <row r="74" spans="1:32" x14ac:dyDescent="0.25">
      <c r="A74" s="1" t="s">
        <v>0</v>
      </c>
      <c r="B74" s="109" t="s">
        <v>1</v>
      </c>
      <c r="C74" s="109" t="s">
        <v>234</v>
      </c>
      <c r="D74" s="109" t="s">
        <v>2</v>
      </c>
      <c r="E74" s="109" t="s">
        <v>3</v>
      </c>
      <c r="F74" s="109" t="s">
        <v>243</v>
      </c>
      <c r="G74" s="109" t="s">
        <v>235</v>
      </c>
      <c r="H74" s="109" t="s">
        <v>246</v>
      </c>
      <c r="I74" s="109" t="s">
        <v>5</v>
      </c>
      <c r="J74" s="109" t="s">
        <v>4</v>
      </c>
      <c r="K74" s="109" t="s">
        <v>6</v>
      </c>
      <c r="L74" s="109" t="s">
        <v>7</v>
      </c>
      <c r="M74" s="109" t="s">
        <v>8</v>
      </c>
      <c r="N74" s="109" t="s">
        <v>9</v>
      </c>
      <c r="O74" s="109" t="s">
        <v>242</v>
      </c>
      <c r="P74" s="109" t="s">
        <v>10</v>
      </c>
      <c r="Q74" s="109" t="s">
        <v>11</v>
      </c>
      <c r="R74" s="109" t="s">
        <v>236</v>
      </c>
      <c r="S74" s="109" t="s">
        <v>245</v>
      </c>
      <c r="T74" s="109" t="s">
        <v>12</v>
      </c>
      <c r="U74" s="109" t="s">
        <v>237</v>
      </c>
      <c r="V74" s="109" t="s">
        <v>238</v>
      </c>
      <c r="W74" s="109" t="s">
        <v>241</v>
      </c>
      <c r="X74" s="109" t="s">
        <v>13</v>
      </c>
      <c r="Y74" s="109" t="s">
        <v>14</v>
      </c>
      <c r="Z74" s="109" t="s">
        <v>15</v>
      </c>
      <c r="AA74" s="109" t="s">
        <v>16</v>
      </c>
      <c r="AB74" s="109" t="s">
        <v>17</v>
      </c>
      <c r="AC74" s="108" t="s">
        <v>239</v>
      </c>
      <c r="AD74" s="108" t="s">
        <v>240</v>
      </c>
      <c r="AE74" s="108" t="s">
        <v>18</v>
      </c>
      <c r="AF74" s="109" t="s">
        <v>19</v>
      </c>
    </row>
    <row r="75" spans="1:32" x14ac:dyDescent="0.25">
      <c r="A75" s="92" t="s">
        <v>192</v>
      </c>
      <c r="B75" s="92">
        <f>B85-B5-B15-B25-B35-B45-B55-B65</f>
        <v>1289</v>
      </c>
      <c r="C75" s="92">
        <f t="shared" ref="C75:AF75" si="18">C85-C5-C15-C25-C35-C45-C55-C65</f>
        <v>0</v>
      </c>
      <c r="D75" s="92">
        <f t="shared" si="18"/>
        <v>0</v>
      </c>
      <c r="E75" s="92">
        <f t="shared" si="18"/>
        <v>27966</v>
      </c>
      <c r="F75" s="92">
        <f t="shared" si="18"/>
        <v>21557</v>
      </c>
      <c r="G75" s="92">
        <f t="shared" si="18"/>
        <v>3623</v>
      </c>
      <c r="H75" s="92">
        <f t="shared" si="18"/>
        <v>12820</v>
      </c>
      <c r="I75" s="92">
        <f t="shared" si="18"/>
        <v>57975.92</v>
      </c>
      <c r="J75" s="92">
        <f t="shared" si="18"/>
        <v>6.7799999999988358</v>
      </c>
      <c r="K75" s="92">
        <f t="shared" si="18"/>
        <v>12888.46</v>
      </c>
      <c r="L75" s="92">
        <f t="shared" si="18"/>
        <v>15369</v>
      </c>
      <c r="M75" s="92">
        <f t="shared" si="18"/>
        <v>34742</v>
      </c>
      <c r="N75" s="92">
        <f t="shared" si="18"/>
        <v>20999</v>
      </c>
      <c r="O75" s="92">
        <f t="shared" si="18"/>
        <v>422.85999999999876</v>
      </c>
      <c r="P75" s="92">
        <f t="shared" si="18"/>
        <v>0</v>
      </c>
      <c r="Q75" s="92">
        <f t="shared" si="18"/>
        <v>273</v>
      </c>
      <c r="R75" s="92">
        <f t="shared" si="18"/>
        <v>0</v>
      </c>
      <c r="S75" s="92">
        <f t="shared" si="18"/>
        <v>0</v>
      </c>
      <c r="T75" s="92">
        <f t="shared" si="18"/>
        <v>26184.570000000083</v>
      </c>
      <c r="U75" s="92">
        <f t="shared" si="18"/>
        <v>373</v>
      </c>
      <c r="V75" s="92">
        <f t="shared" si="18"/>
        <v>4238</v>
      </c>
      <c r="W75" s="92">
        <f t="shared" si="18"/>
        <v>5642</v>
      </c>
      <c r="X75" s="92">
        <f t="shared" si="18"/>
        <v>911</v>
      </c>
      <c r="Y75" s="92">
        <f t="shared" si="18"/>
        <v>13675</v>
      </c>
      <c r="Z75" s="92">
        <f t="shared" si="18"/>
        <v>936</v>
      </c>
      <c r="AA75" s="92">
        <f t="shared" si="18"/>
        <v>0</v>
      </c>
      <c r="AB75" s="92">
        <f t="shared" si="18"/>
        <v>14079</v>
      </c>
      <c r="AC75" s="92">
        <f t="shared" si="18"/>
        <v>0</v>
      </c>
      <c r="AD75" s="92">
        <f t="shared" si="18"/>
        <v>36402</v>
      </c>
      <c r="AE75" s="92">
        <f t="shared" si="18"/>
        <v>30705</v>
      </c>
      <c r="AF75" s="92">
        <f t="shared" si="18"/>
        <v>8703.3500000000058</v>
      </c>
    </row>
    <row r="76" spans="1:32" x14ac:dyDescent="0.25">
      <c r="A76" s="92" t="s">
        <v>26</v>
      </c>
      <c r="B76" s="92">
        <f t="shared" ref="B76:AF76" si="19">B86-B6-B16-B26-B36-B46-B56-B66</f>
        <v>1048</v>
      </c>
      <c r="C76" s="92">
        <f t="shared" si="19"/>
        <v>0</v>
      </c>
      <c r="D76" s="92">
        <f t="shared" si="19"/>
        <v>0</v>
      </c>
      <c r="E76" s="92">
        <f t="shared" si="19"/>
        <v>10689</v>
      </c>
      <c r="F76" s="92">
        <f t="shared" si="19"/>
        <v>3964</v>
      </c>
      <c r="G76" s="92">
        <f t="shared" si="19"/>
        <v>1251</v>
      </c>
      <c r="H76" s="92">
        <f t="shared" si="19"/>
        <v>9988</v>
      </c>
      <c r="I76" s="92">
        <f t="shared" si="19"/>
        <v>64672.88</v>
      </c>
      <c r="J76" s="92">
        <f t="shared" si="19"/>
        <v>3.3200000000051659</v>
      </c>
      <c r="K76" s="92">
        <f t="shared" si="19"/>
        <v>7795.6500000000042</v>
      </c>
      <c r="L76" s="92">
        <f t="shared" si="19"/>
        <v>8431</v>
      </c>
      <c r="M76" s="92">
        <f t="shared" si="19"/>
        <v>17774</v>
      </c>
      <c r="N76" s="92">
        <f t="shared" si="19"/>
        <v>12446</v>
      </c>
      <c r="O76" s="92">
        <f t="shared" si="19"/>
        <v>128.40000000000146</v>
      </c>
      <c r="P76" s="92">
        <f t="shared" si="19"/>
        <v>0</v>
      </c>
      <c r="Q76" s="92">
        <f t="shared" si="19"/>
        <v>189</v>
      </c>
      <c r="R76" s="92">
        <f t="shared" si="19"/>
        <v>0</v>
      </c>
      <c r="S76" s="92">
        <f t="shared" si="19"/>
        <v>0</v>
      </c>
      <c r="T76" s="92">
        <f t="shared" si="19"/>
        <v>13004.400000000036</v>
      </c>
      <c r="U76" s="92">
        <f t="shared" si="19"/>
        <v>391</v>
      </c>
      <c r="V76" s="92">
        <f t="shared" si="19"/>
        <v>1709</v>
      </c>
      <c r="W76" s="92">
        <f t="shared" si="19"/>
        <v>2866</v>
      </c>
      <c r="X76" s="92">
        <f t="shared" si="19"/>
        <v>59</v>
      </c>
      <c r="Y76" s="92">
        <f t="shared" si="19"/>
        <v>2790</v>
      </c>
      <c r="Z76" s="92">
        <f t="shared" si="19"/>
        <v>671</v>
      </c>
      <c r="AA76" s="92">
        <f t="shared" si="19"/>
        <v>0</v>
      </c>
      <c r="AB76" s="92">
        <f t="shared" si="19"/>
        <v>8287</v>
      </c>
      <c r="AC76" s="92">
        <f t="shared" si="19"/>
        <v>0</v>
      </c>
      <c r="AD76" s="92">
        <f t="shared" si="19"/>
        <v>15372</v>
      </c>
      <c r="AE76" s="92">
        <f t="shared" si="19"/>
        <v>4462</v>
      </c>
      <c r="AF76" s="92">
        <f t="shared" si="19"/>
        <v>5582.7600000000075</v>
      </c>
    </row>
    <row r="77" spans="1:32" x14ac:dyDescent="0.25">
      <c r="A77" s="92" t="s">
        <v>259</v>
      </c>
      <c r="B77" s="92">
        <f t="shared" ref="B77:AF77" si="20">B87-B7-B17-B27-B37-B47-B57-B67</f>
        <v>-71</v>
      </c>
      <c r="C77" s="92">
        <f t="shared" si="20"/>
        <v>0</v>
      </c>
      <c r="D77" s="92">
        <f t="shared" si="20"/>
        <v>0</v>
      </c>
      <c r="E77" s="92">
        <f t="shared" si="20"/>
        <v>-324</v>
      </c>
      <c r="F77" s="92">
        <f t="shared" si="20"/>
        <v>3432</v>
      </c>
      <c r="G77" s="92">
        <f t="shared" si="20"/>
        <v>623</v>
      </c>
      <c r="H77" s="92">
        <f t="shared" si="20"/>
        <v>1705</v>
      </c>
      <c r="I77" s="92">
        <f t="shared" si="20"/>
        <v>-1489.03</v>
      </c>
      <c r="J77" s="92">
        <f t="shared" si="20"/>
        <v>9.9999999999994316E-2</v>
      </c>
      <c r="K77" s="92">
        <f t="shared" si="20"/>
        <v>270.66000000000037</v>
      </c>
      <c r="L77" s="92">
        <f t="shared" si="20"/>
        <v>-364</v>
      </c>
      <c r="M77" s="92">
        <f t="shared" si="20"/>
        <v>3206</v>
      </c>
      <c r="N77" s="92">
        <f t="shared" si="20"/>
        <v>6899</v>
      </c>
      <c r="O77" s="92">
        <f t="shared" si="20"/>
        <v>-31.909999999999883</v>
      </c>
      <c r="P77" s="92">
        <f t="shared" si="20"/>
        <v>0</v>
      </c>
      <c r="Q77" s="92">
        <f t="shared" si="20"/>
        <v>-151</v>
      </c>
      <c r="R77" s="92">
        <f t="shared" si="20"/>
        <v>0</v>
      </c>
      <c r="S77" s="92">
        <f t="shared" si="20"/>
        <v>0</v>
      </c>
      <c r="T77" s="92">
        <f t="shared" si="20"/>
        <v>3524.189999999996</v>
      </c>
      <c r="U77" s="92">
        <f t="shared" si="20"/>
        <v>-3</v>
      </c>
      <c r="V77" s="92">
        <f t="shared" si="20"/>
        <v>837</v>
      </c>
      <c r="W77" s="92">
        <f t="shared" si="20"/>
        <v>829</v>
      </c>
      <c r="X77" s="92">
        <f t="shared" si="20"/>
        <v>-9</v>
      </c>
      <c r="Y77" s="92">
        <f t="shared" si="20"/>
        <v>206</v>
      </c>
      <c r="Z77" s="92">
        <f t="shared" si="20"/>
        <v>-129</v>
      </c>
      <c r="AA77" s="92">
        <f t="shared" si="20"/>
        <v>0</v>
      </c>
      <c r="AB77" s="92">
        <f t="shared" si="20"/>
        <v>-3715</v>
      </c>
      <c r="AC77" s="92">
        <f t="shared" si="20"/>
        <v>0</v>
      </c>
      <c r="AD77" s="92">
        <f t="shared" si="20"/>
        <v>5525</v>
      </c>
      <c r="AE77" s="92">
        <f t="shared" si="20"/>
        <v>5627</v>
      </c>
      <c r="AF77" s="92">
        <f t="shared" si="20"/>
        <v>963.21</v>
      </c>
    </row>
    <row r="78" spans="1:32" x14ac:dyDescent="0.25">
      <c r="A78" s="92" t="s">
        <v>260</v>
      </c>
      <c r="B78" s="92">
        <f t="shared" ref="B78:AF78" si="21">B88-B8-B18-B28-B38-B48-B58-B68</f>
        <v>1510</v>
      </c>
      <c r="C78" s="92">
        <f t="shared" si="21"/>
        <v>0</v>
      </c>
      <c r="D78" s="92">
        <f t="shared" si="21"/>
        <v>0</v>
      </c>
      <c r="E78" s="92">
        <f t="shared" si="21"/>
        <v>14622</v>
      </c>
      <c r="F78" s="92">
        <f t="shared" si="21"/>
        <v>7543</v>
      </c>
      <c r="G78" s="92">
        <f t="shared" si="21"/>
        <v>1206</v>
      </c>
      <c r="H78" s="92">
        <f t="shared" si="21"/>
        <v>6698</v>
      </c>
      <c r="I78" s="92">
        <f t="shared" si="21"/>
        <v>19022.77</v>
      </c>
      <c r="J78" s="92">
        <f t="shared" si="21"/>
        <v>3.6300000000001091</v>
      </c>
      <c r="K78" s="92">
        <f t="shared" si="21"/>
        <v>4281.5499999999938</v>
      </c>
      <c r="L78" s="92">
        <f t="shared" si="21"/>
        <v>7409</v>
      </c>
      <c r="M78" s="92">
        <f t="shared" si="21"/>
        <v>10120</v>
      </c>
      <c r="N78" s="92">
        <f t="shared" si="21"/>
        <v>5043</v>
      </c>
      <c r="O78" s="92">
        <f t="shared" si="21"/>
        <v>187.23000000000138</v>
      </c>
      <c r="P78" s="92">
        <f t="shared" si="21"/>
        <v>0</v>
      </c>
      <c r="Q78" s="92">
        <f t="shared" si="21"/>
        <v>1159</v>
      </c>
      <c r="R78" s="92">
        <f t="shared" si="21"/>
        <v>0</v>
      </c>
      <c r="S78" s="92">
        <f t="shared" si="21"/>
        <v>0</v>
      </c>
      <c r="T78" s="92">
        <f t="shared" si="21"/>
        <v>5808.9100000000108</v>
      </c>
      <c r="U78" s="92">
        <f t="shared" si="21"/>
        <v>166.92999999999984</v>
      </c>
      <c r="V78" s="92">
        <f t="shared" si="21"/>
        <v>2349</v>
      </c>
      <c r="W78" s="92">
        <f t="shared" si="21"/>
        <v>2263</v>
      </c>
      <c r="X78" s="92">
        <f t="shared" si="21"/>
        <v>161</v>
      </c>
      <c r="Y78" s="92">
        <f t="shared" si="21"/>
        <v>2798</v>
      </c>
      <c r="Z78" s="92">
        <f t="shared" si="21"/>
        <v>309</v>
      </c>
      <c r="AA78" s="92">
        <f t="shared" si="21"/>
        <v>0</v>
      </c>
      <c r="AB78" s="92">
        <f t="shared" si="21"/>
        <v>7042</v>
      </c>
      <c r="AC78" s="92">
        <f t="shared" si="21"/>
        <v>0</v>
      </c>
      <c r="AD78" s="92">
        <f t="shared" si="21"/>
        <v>8563</v>
      </c>
      <c r="AE78" s="92">
        <f t="shared" si="21"/>
        <v>11353</v>
      </c>
      <c r="AF78" s="92">
        <f t="shared" si="21"/>
        <v>2402.9500000000016</v>
      </c>
    </row>
    <row r="79" spans="1:32" x14ac:dyDescent="0.25">
      <c r="A79" s="92" t="s">
        <v>261</v>
      </c>
      <c r="B79" s="92">
        <f t="shared" ref="B79:AF79" si="22">B89-B9-B19-B29-B39-B49-B59-B69</f>
        <v>0</v>
      </c>
      <c r="C79" s="92">
        <f t="shared" si="22"/>
        <v>0</v>
      </c>
      <c r="D79" s="92">
        <f t="shared" si="22"/>
        <v>0</v>
      </c>
      <c r="E79" s="92">
        <f t="shared" si="22"/>
        <v>0</v>
      </c>
      <c r="F79" s="92">
        <f t="shared" si="22"/>
        <v>-676</v>
      </c>
      <c r="G79" s="92">
        <f t="shared" si="22"/>
        <v>0</v>
      </c>
      <c r="H79" s="92">
        <f t="shared" si="22"/>
        <v>0</v>
      </c>
      <c r="I79" s="92">
        <f t="shared" si="22"/>
        <v>-20652</v>
      </c>
      <c r="J79" s="92">
        <f t="shared" si="22"/>
        <v>5.6843418860808015E-14</v>
      </c>
      <c r="K79" s="92">
        <f t="shared" si="22"/>
        <v>0</v>
      </c>
      <c r="L79" s="92">
        <f t="shared" si="22"/>
        <v>0</v>
      </c>
      <c r="M79" s="92">
        <f t="shared" si="22"/>
        <v>0</v>
      </c>
      <c r="N79" s="92">
        <f t="shared" si="22"/>
        <v>0</v>
      </c>
      <c r="O79" s="92">
        <f t="shared" si="22"/>
        <v>0</v>
      </c>
      <c r="P79" s="92">
        <f t="shared" si="22"/>
        <v>0</v>
      </c>
      <c r="Q79" s="92">
        <f t="shared" si="22"/>
        <v>0</v>
      </c>
      <c r="R79" s="92">
        <f t="shared" si="22"/>
        <v>0</v>
      </c>
      <c r="S79" s="92">
        <f t="shared" si="22"/>
        <v>0</v>
      </c>
      <c r="T79" s="92">
        <f t="shared" si="22"/>
        <v>0</v>
      </c>
      <c r="U79" s="92">
        <f t="shared" si="22"/>
        <v>0</v>
      </c>
      <c r="V79" s="92">
        <f t="shared" si="22"/>
        <v>0</v>
      </c>
      <c r="W79" s="92">
        <f t="shared" si="22"/>
        <v>0</v>
      </c>
      <c r="X79" s="92">
        <f t="shared" si="22"/>
        <v>0</v>
      </c>
      <c r="Y79" s="92">
        <f t="shared" si="22"/>
        <v>0</v>
      </c>
      <c r="Z79" s="92">
        <f t="shared" si="22"/>
        <v>0</v>
      </c>
      <c r="AA79" s="92">
        <f t="shared" si="22"/>
        <v>0</v>
      </c>
      <c r="AB79" s="92">
        <f t="shared" si="22"/>
        <v>0</v>
      </c>
      <c r="AC79" s="92">
        <f t="shared" si="22"/>
        <v>0</v>
      </c>
      <c r="AD79" s="92">
        <f t="shared" si="22"/>
        <v>-11839</v>
      </c>
      <c r="AE79" s="92">
        <f t="shared" si="22"/>
        <v>0</v>
      </c>
      <c r="AF79" s="92">
        <f t="shared" si="22"/>
        <v>0</v>
      </c>
    </row>
    <row r="80" spans="1:32" x14ac:dyDescent="0.25">
      <c r="A80" s="92" t="s">
        <v>257</v>
      </c>
      <c r="B80" s="92">
        <f t="shared" ref="B80" si="23">B75-B76-B77-B78-B79</f>
        <v>-1198</v>
      </c>
      <c r="C80" s="92">
        <f t="shared" ref="C80" si="24">C75-C76-C77-C78-C79</f>
        <v>0</v>
      </c>
      <c r="D80" s="92">
        <f t="shared" ref="D80" si="25">D75-D76-D77-D78-D79</f>
        <v>0</v>
      </c>
      <c r="E80" s="92">
        <f t="shared" ref="E80" si="26">E75-E76-E77-E78-E79</f>
        <v>2979</v>
      </c>
      <c r="F80" s="92">
        <f t="shared" ref="F80" si="27">F75-F76-F77-F78-F79</f>
        <v>7294</v>
      </c>
      <c r="G80" s="92">
        <f t="shared" ref="G80" si="28">G75-G76-G77-G78-G79</f>
        <v>543</v>
      </c>
      <c r="H80" s="92">
        <f t="shared" ref="H80" si="29">H75-H76-H77-H78-H79</f>
        <v>-5571</v>
      </c>
      <c r="I80" s="92">
        <f t="shared" ref="I80" si="30">I75-I76-I77-I78-I79</f>
        <v>-3578.7000000000007</v>
      </c>
      <c r="J80" s="92">
        <f t="shared" ref="J80" si="31">J75-J76-J77-J78-J79</f>
        <v>-0.27000000000649038</v>
      </c>
      <c r="K80" s="92">
        <f t="shared" ref="K80" si="32">K75-K76-K77-K78-K79</f>
        <v>540.60000000000036</v>
      </c>
      <c r="L80" s="92">
        <f t="shared" ref="L80" si="33">L75-L76-L77-L78-L79</f>
        <v>-107</v>
      </c>
      <c r="M80" s="92">
        <f t="shared" ref="M80" si="34">M75-M76-M77-M78-M79</f>
        <v>3642</v>
      </c>
      <c r="N80" s="92">
        <f t="shared" ref="N80" si="35">N75-N76-N77-N78-N79</f>
        <v>-3389</v>
      </c>
      <c r="O80" s="92">
        <f t="shared" ref="O80" si="36">O75-O76-O77-O78-O79</f>
        <v>139.13999999999578</v>
      </c>
      <c r="P80" s="92">
        <f t="shared" ref="P80" si="37">P75-P76-P77-P78-P79</f>
        <v>0</v>
      </c>
      <c r="Q80" s="92">
        <f t="shared" ref="Q80" si="38">Q75-Q76-Q77-Q78-Q79</f>
        <v>-924</v>
      </c>
      <c r="R80" s="92">
        <f t="shared" ref="R80" si="39">R75-R76-R77-R78-R79</f>
        <v>0</v>
      </c>
      <c r="S80" s="92">
        <f t="shared" ref="S80" si="40">S75-S76-S77-S78-S79</f>
        <v>0</v>
      </c>
      <c r="T80" s="92">
        <f t="shared" ref="T80" si="41">T75-T76-T77-T78-T79</f>
        <v>3847.0700000000397</v>
      </c>
      <c r="U80" s="92">
        <f t="shared" ref="U80" si="42">U75-U76-U77-U78-U79</f>
        <v>-181.92999999999984</v>
      </c>
      <c r="V80" s="92">
        <f t="shared" ref="V80" si="43">V75-V76-V77-V78-V79</f>
        <v>-657</v>
      </c>
      <c r="W80" s="92">
        <f t="shared" ref="W80" si="44">W75-W76-W77-W78-W79</f>
        <v>-316</v>
      </c>
      <c r="X80" s="92">
        <f t="shared" ref="X80" si="45">X75-X76-X77-X78-X79</f>
        <v>700</v>
      </c>
      <c r="Y80" s="92">
        <f t="shared" ref="Y80" si="46">Y75-Y76-Y77-Y78-Y79</f>
        <v>7881</v>
      </c>
      <c r="Z80" s="92">
        <f t="shared" ref="Z80" si="47">Z75-Z76-Z77-Z78-Z79</f>
        <v>85</v>
      </c>
      <c r="AA80" s="92">
        <f t="shared" ref="AA80" si="48">AA75-AA76-AA77-AA78-AA79</f>
        <v>0</v>
      </c>
      <c r="AB80" s="92">
        <f t="shared" ref="AB80" si="49">AB75-AB76-AB77-AB78-AB79</f>
        <v>2465</v>
      </c>
      <c r="AC80" s="92">
        <f t="shared" ref="AC80" si="50">AC75-AC76-AC77-AC78-AC79</f>
        <v>0</v>
      </c>
      <c r="AD80" s="92">
        <f t="shared" ref="AD80" si="51">AD75-AD76-AD77-AD78-AD79</f>
        <v>18781</v>
      </c>
      <c r="AE80" s="92">
        <f t="shared" ref="AE80" si="52">AE75-AE76-AE77-AE78-AE79</f>
        <v>9263</v>
      </c>
      <c r="AF80" s="92">
        <f t="shared" ref="AF80" si="53">AF75-AF76-AF77-AF78-AF79</f>
        <v>-245.57000000000335</v>
      </c>
    </row>
    <row r="81" spans="1:32" x14ac:dyDescent="0.25">
      <c r="A81" s="92" t="s">
        <v>258</v>
      </c>
      <c r="B81" s="91">
        <f t="shared" ref="B81" si="54">B80*100/B75</f>
        <v>-92.940263770364623</v>
      </c>
      <c r="C81" s="91" t="e">
        <f t="shared" ref="C81" si="55">C80*100/C75</f>
        <v>#DIV/0!</v>
      </c>
      <c r="D81" s="91" t="e">
        <f t="shared" ref="D81" si="56">D80*100/D75</f>
        <v>#DIV/0!</v>
      </c>
      <c r="E81" s="91">
        <f t="shared" ref="E81" si="57">E80*100/E75</f>
        <v>10.652220553529286</v>
      </c>
      <c r="F81" s="91">
        <f t="shared" ref="F81" si="58">F80*100/F75</f>
        <v>33.835876977315955</v>
      </c>
      <c r="G81" s="91">
        <f t="shared" ref="G81" si="59">G80*100/G75</f>
        <v>14.987579354126414</v>
      </c>
      <c r="H81" s="91">
        <f t="shared" ref="H81" si="60">H80*100/H75</f>
        <v>-43.455538221528862</v>
      </c>
      <c r="I81" s="91">
        <f t="shared" ref="I81" si="61">I80*100/I75</f>
        <v>-6.1727351631504952</v>
      </c>
      <c r="J81" s="91">
        <f t="shared" ref="J81" si="62">J80*100/J75</f>
        <v>-3.9823008850521644</v>
      </c>
      <c r="K81" s="91">
        <f t="shared" ref="K81" si="63">K80*100/K75</f>
        <v>4.1944499187645414</v>
      </c>
      <c r="L81" s="91">
        <f t="shared" ref="L81" si="64">L80*100/L75</f>
        <v>-0.69620664974949575</v>
      </c>
      <c r="M81" s="91">
        <f t="shared" ref="M81" si="65">M80*100/M75</f>
        <v>10.482988889528524</v>
      </c>
      <c r="N81" s="91">
        <f t="shared" ref="N81" si="66">N80*100/N75</f>
        <v>-16.138863755416924</v>
      </c>
      <c r="O81" s="91">
        <f t="shared" ref="O81" si="67">O80*100/O75</f>
        <v>32.904507401976112</v>
      </c>
      <c r="P81" s="91" t="e">
        <f t="shared" ref="P81" si="68">P80*100/P75</f>
        <v>#DIV/0!</v>
      </c>
      <c r="Q81" s="91">
        <f t="shared" ref="Q81" si="69">Q80*100/Q75</f>
        <v>-338.46153846153845</v>
      </c>
      <c r="R81" s="91" t="e">
        <f t="shared" ref="R81" si="70">R80*100/R75</f>
        <v>#DIV/0!</v>
      </c>
      <c r="S81" s="91" t="e">
        <f t="shared" ref="S81" si="71">S80*100/S75</f>
        <v>#DIV/0!</v>
      </c>
      <c r="T81" s="91">
        <f t="shared" ref="T81" si="72">T80*100/T75</f>
        <v>14.692125935236009</v>
      </c>
      <c r="U81" s="91">
        <f t="shared" ref="U81" si="73">U80*100/U75</f>
        <v>-48.774798927613901</v>
      </c>
      <c r="V81" s="91">
        <f t="shared" ref="V81" si="74">V80*100/V75</f>
        <v>-15.502595563945258</v>
      </c>
      <c r="W81" s="91">
        <f t="shared" ref="W81" si="75">W80*100/W75</f>
        <v>-5.6008507621410848</v>
      </c>
      <c r="X81" s="91">
        <f t="shared" ref="X81" si="76">X80*100/X75</f>
        <v>76.83863885839736</v>
      </c>
      <c r="Y81" s="91">
        <f t="shared" ref="Y81" si="77">Y80*100/Y75</f>
        <v>57.630712979890312</v>
      </c>
      <c r="Z81" s="91">
        <f t="shared" ref="Z81" si="78">Z80*100/Z75</f>
        <v>9.0811965811965809</v>
      </c>
      <c r="AA81" s="91" t="e">
        <f t="shared" ref="AA81" si="79">AA80*100/AA75</f>
        <v>#DIV/0!</v>
      </c>
      <c r="AB81" s="91">
        <f t="shared" ref="AB81" si="80">AB80*100/AB75</f>
        <v>17.508345763193407</v>
      </c>
      <c r="AC81" s="91" t="e">
        <f t="shared" ref="AC81" si="81">AC80*100/AC75</f>
        <v>#DIV/0!</v>
      </c>
      <c r="AD81" s="91">
        <f t="shared" ref="AD81" si="82">AD80*100/AD75</f>
        <v>51.593319048403934</v>
      </c>
      <c r="AE81" s="91">
        <f t="shared" ref="AE81" si="83">AE80*100/AE75</f>
        <v>30.167725126200946</v>
      </c>
      <c r="AF81" s="91">
        <f t="shared" ref="AF81" si="84">AF80*100/AF75</f>
        <v>-2.8215572164741527</v>
      </c>
    </row>
    <row r="83" spans="1:32" x14ac:dyDescent="0.25">
      <c r="A83" s="27" t="s">
        <v>40</v>
      </c>
    </row>
    <row r="84" spans="1:32" x14ac:dyDescent="0.25">
      <c r="A84" s="1" t="s">
        <v>0</v>
      </c>
      <c r="B84" s="109" t="s">
        <v>1</v>
      </c>
      <c r="C84" s="109" t="s">
        <v>234</v>
      </c>
      <c r="D84" s="109" t="s">
        <v>2</v>
      </c>
      <c r="E84" s="109" t="s">
        <v>3</v>
      </c>
      <c r="F84" s="109" t="s">
        <v>243</v>
      </c>
      <c r="G84" s="109" t="s">
        <v>235</v>
      </c>
      <c r="H84" s="109" t="s">
        <v>246</v>
      </c>
      <c r="I84" s="109" t="s">
        <v>5</v>
      </c>
      <c r="J84" s="109" t="s">
        <v>4</v>
      </c>
      <c r="K84" s="109" t="s">
        <v>6</v>
      </c>
      <c r="L84" s="109" t="s">
        <v>7</v>
      </c>
      <c r="M84" s="109" t="s">
        <v>8</v>
      </c>
      <c r="N84" s="109" t="s">
        <v>9</v>
      </c>
      <c r="O84" s="109" t="s">
        <v>242</v>
      </c>
      <c r="P84" s="109" t="s">
        <v>10</v>
      </c>
      <c r="Q84" s="109" t="s">
        <v>11</v>
      </c>
      <c r="R84" s="109" t="s">
        <v>236</v>
      </c>
      <c r="S84" s="109" t="s">
        <v>245</v>
      </c>
      <c r="T84" s="109" t="s">
        <v>12</v>
      </c>
      <c r="U84" s="109" t="s">
        <v>237</v>
      </c>
      <c r="V84" s="109" t="s">
        <v>238</v>
      </c>
      <c r="W84" s="109" t="s">
        <v>241</v>
      </c>
      <c r="X84" s="109" t="s">
        <v>13</v>
      </c>
      <c r="Y84" s="109" t="s">
        <v>14</v>
      </c>
      <c r="Z84" s="109" t="s">
        <v>15</v>
      </c>
      <c r="AA84" s="109" t="s">
        <v>16</v>
      </c>
      <c r="AB84" s="109" t="s">
        <v>17</v>
      </c>
      <c r="AC84" s="108" t="s">
        <v>239</v>
      </c>
      <c r="AD84" s="108" t="s">
        <v>240</v>
      </c>
      <c r="AE84" s="108" t="s">
        <v>18</v>
      </c>
      <c r="AF84" s="109" t="s">
        <v>19</v>
      </c>
    </row>
    <row r="85" spans="1:32" x14ac:dyDescent="0.25">
      <c r="A85" s="92" t="s">
        <v>192</v>
      </c>
      <c r="B85" s="92">
        <v>30401</v>
      </c>
      <c r="C85" s="92">
        <v>78892</v>
      </c>
      <c r="D85" s="92">
        <v>508183</v>
      </c>
      <c r="E85" s="92">
        <v>579095</v>
      </c>
      <c r="F85" s="92">
        <v>174170</v>
      </c>
      <c r="G85" s="92">
        <v>256647</v>
      </c>
      <c r="H85" s="92">
        <v>239235</v>
      </c>
      <c r="I85" s="92">
        <v>57975.92</v>
      </c>
      <c r="J85" s="92">
        <v>17044.05</v>
      </c>
      <c r="K85" s="92">
        <v>179196.79999999999</v>
      </c>
      <c r="L85" s="92">
        <v>515145</v>
      </c>
      <c r="M85" s="92">
        <v>971431</v>
      </c>
      <c r="N85" s="92">
        <v>412333</v>
      </c>
      <c r="O85" s="92">
        <v>35090.71</v>
      </c>
      <c r="P85" s="92"/>
      <c r="Q85" s="92">
        <v>65858</v>
      </c>
      <c r="R85" s="92">
        <v>57750</v>
      </c>
      <c r="S85" s="92">
        <v>118231</v>
      </c>
      <c r="T85" s="92">
        <v>913071.25</v>
      </c>
      <c r="U85" s="92">
        <v>6310</v>
      </c>
      <c r="V85" s="92">
        <v>21707</v>
      </c>
      <c r="W85" s="92">
        <v>389577</v>
      </c>
      <c r="X85" s="92">
        <v>163636</v>
      </c>
      <c r="Y85" s="92">
        <v>305271</v>
      </c>
      <c r="Z85" s="92">
        <v>138279</v>
      </c>
      <c r="AA85" s="92">
        <f>635282+83517</f>
        <v>718799</v>
      </c>
      <c r="AB85" s="92">
        <v>476631</v>
      </c>
      <c r="AC85" s="92"/>
      <c r="AD85" s="92">
        <v>864640</v>
      </c>
      <c r="AE85" s="92">
        <v>962060</v>
      </c>
      <c r="AF85" s="92">
        <v>94188.82</v>
      </c>
    </row>
    <row r="86" spans="1:32" x14ac:dyDescent="0.25">
      <c r="A86" s="92" t="s">
        <v>26</v>
      </c>
      <c r="B86" s="92">
        <v>32191</v>
      </c>
      <c r="C86" s="92">
        <v>61325</v>
      </c>
      <c r="D86" s="92">
        <v>513974</v>
      </c>
      <c r="E86" s="92">
        <v>430825</v>
      </c>
      <c r="F86" s="92">
        <v>130299</v>
      </c>
      <c r="G86" s="92">
        <v>183217</v>
      </c>
      <c r="H86" s="92">
        <v>182789</v>
      </c>
      <c r="I86" s="92">
        <v>64672.88</v>
      </c>
      <c r="J86" s="92">
        <v>17074.72</v>
      </c>
      <c r="K86" s="92">
        <v>127411.24</v>
      </c>
      <c r="L86" s="92">
        <v>442191</v>
      </c>
      <c r="M86" s="92">
        <v>739262</v>
      </c>
      <c r="N86" s="92">
        <v>387149</v>
      </c>
      <c r="O86" s="92">
        <v>26717.14</v>
      </c>
      <c r="P86" s="92"/>
      <c r="Q86" s="92">
        <v>46062</v>
      </c>
      <c r="R86" s="92">
        <v>48830</v>
      </c>
      <c r="S86" s="92">
        <v>80771</v>
      </c>
      <c r="T86" s="92">
        <v>926252.94</v>
      </c>
      <c r="U86" s="92">
        <v>3878</v>
      </c>
      <c r="V86" s="92">
        <v>18434</v>
      </c>
      <c r="W86" s="92">
        <v>302619</v>
      </c>
      <c r="X86" s="92">
        <v>139757</v>
      </c>
      <c r="Y86" s="92">
        <v>272347</v>
      </c>
      <c r="Z86" s="92">
        <v>105348</v>
      </c>
      <c r="AA86" s="92">
        <f>568683+106838-2</f>
        <v>675519</v>
      </c>
      <c r="AB86" s="92">
        <v>367915</v>
      </c>
      <c r="AC86" s="92"/>
      <c r="AD86" s="92">
        <v>961344</v>
      </c>
      <c r="AE86" s="92">
        <v>940462</v>
      </c>
      <c r="AF86" s="92">
        <v>70509.460000000006</v>
      </c>
    </row>
    <row r="87" spans="1:32" x14ac:dyDescent="0.25">
      <c r="A87" s="92" t="s">
        <v>259</v>
      </c>
      <c r="B87" s="92">
        <v>-1834</v>
      </c>
      <c r="C87" s="92">
        <v>1984</v>
      </c>
      <c r="D87" s="92">
        <v>-14737</v>
      </c>
      <c r="E87" s="92">
        <v>-10424</v>
      </c>
      <c r="F87" s="92">
        <v>6574</v>
      </c>
      <c r="G87" s="92">
        <v>8456</v>
      </c>
      <c r="H87" s="92">
        <v>11283</v>
      </c>
      <c r="I87" s="92">
        <v>-1489.03</v>
      </c>
      <c r="J87" s="92">
        <v>438.75</v>
      </c>
      <c r="K87" s="92">
        <v>637.82000000000005</v>
      </c>
      <c r="L87" s="92">
        <v>-22768</v>
      </c>
      <c r="M87" s="92">
        <v>47380</v>
      </c>
      <c r="N87" s="92">
        <v>26243</v>
      </c>
      <c r="O87" s="146">
        <v>1596.18</v>
      </c>
      <c r="P87" s="92"/>
      <c r="Q87" s="92">
        <v>-1731</v>
      </c>
      <c r="R87" s="92">
        <v>6886</v>
      </c>
      <c r="S87" s="92">
        <v>4966</v>
      </c>
      <c r="T87" s="92">
        <v>61677.31</v>
      </c>
      <c r="U87" s="92">
        <v>325</v>
      </c>
      <c r="V87" s="92">
        <v>3237</v>
      </c>
      <c r="W87" s="92">
        <v>-2485</v>
      </c>
      <c r="X87" s="92">
        <v>10874</v>
      </c>
      <c r="Y87" s="92">
        <v>-11255</v>
      </c>
      <c r="Z87" s="92">
        <v>6363</v>
      </c>
      <c r="AA87" s="92">
        <f>92499+5996</f>
        <v>98495</v>
      </c>
      <c r="AB87" s="92">
        <v>14213</v>
      </c>
      <c r="AC87" s="92"/>
      <c r="AD87" s="92">
        <v>66516</v>
      </c>
      <c r="AE87" s="92">
        <v>65698</v>
      </c>
      <c r="AF87" s="92">
        <v>5193.54</v>
      </c>
    </row>
    <row r="88" spans="1:32" x14ac:dyDescent="0.25">
      <c r="A88" s="92" t="s">
        <v>260</v>
      </c>
      <c r="B88" s="92">
        <v>34691</v>
      </c>
      <c r="C88" s="92">
        <v>50544</v>
      </c>
      <c r="D88" s="92">
        <v>24188</v>
      </c>
      <c r="E88" s="92">
        <v>156285</v>
      </c>
      <c r="F88" s="92">
        <v>72807</v>
      </c>
      <c r="G88" s="92">
        <v>96461</v>
      </c>
      <c r="H88" s="92">
        <v>95671</v>
      </c>
      <c r="I88" s="92">
        <v>19022.77</v>
      </c>
      <c r="J88" s="92">
        <v>10188.790000000001</v>
      </c>
      <c r="K88" s="92">
        <v>71193.039999999994</v>
      </c>
      <c r="L88" s="92">
        <v>145377</v>
      </c>
      <c r="M88" s="92">
        <v>284273</v>
      </c>
      <c r="N88" s="92">
        <v>70197</v>
      </c>
      <c r="O88" s="92">
        <v>15542.74</v>
      </c>
      <c r="P88" s="92"/>
      <c r="Q88" s="92">
        <v>39571</v>
      </c>
      <c r="R88" s="92">
        <v>28653</v>
      </c>
      <c r="S88" s="92">
        <v>56175</v>
      </c>
      <c r="T88" s="92">
        <v>188190.2</v>
      </c>
      <c r="U88" s="92">
        <v>10757</v>
      </c>
      <c r="V88" s="92">
        <v>11215</v>
      </c>
      <c r="W88" s="92">
        <v>128494</v>
      </c>
      <c r="X88" s="92">
        <v>38919</v>
      </c>
      <c r="Y88" s="92">
        <v>91885</v>
      </c>
      <c r="Z88" s="92">
        <v>31273</v>
      </c>
      <c r="AA88" s="92">
        <f>113525+15691</f>
        <v>129216</v>
      </c>
      <c r="AB88" s="92">
        <v>159073</v>
      </c>
      <c r="AC88" s="92"/>
      <c r="AD88" s="92">
        <v>210850</v>
      </c>
      <c r="AE88" s="92">
        <v>262099</v>
      </c>
      <c r="AF88" s="92">
        <v>24247.1</v>
      </c>
    </row>
    <row r="89" spans="1:32" x14ac:dyDescent="0.25">
      <c r="A89" s="92" t="s">
        <v>261</v>
      </c>
      <c r="B89" s="92"/>
      <c r="C89" s="92"/>
      <c r="D89" s="92">
        <v>-8000</v>
      </c>
      <c r="E89" s="92"/>
      <c r="F89" s="92">
        <v>-13588</v>
      </c>
      <c r="G89" s="92"/>
      <c r="H89" s="92">
        <v>-5</v>
      </c>
      <c r="I89" s="92">
        <v>-20652</v>
      </c>
      <c r="J89" s="92">
        <v>-383.62</v>
      </c>
      <c r="K89" s="92"/>
      <c r="L89" s="92"/>
      <c r="M89" s="92"/>
      <c r="N89" s="92"/>
      <c r="O89" s="92"/>
      <c r="P89" s="92"/>
      <c r="Q89" s="92">
        <v>-2</v>
      </c>
      <c r="R89" s="92"/>
      <c r="S89" s="92"/>
      <c r="T89" s="92">
        <v>1365</v>
      </c>
      <c r="U89" s="92"/>
      <c r="V89" s="92"/>
      <c r="W89" s="92"/>
      <c r="X89" s="92"/>
      <c r="Y89" s="92"/>
      <c r="Z89" s="92"/>
      <c r="AA89" s="92"/>
      <c r="AB89" s="92"/>
      <c r="AC89" s="92"/>
      <c r="AD89" s="92">
        <v>-11839</v>
      </c>
      <c r="AE89" s="92"/>
      <c r="AF89" s="92"/>
    </row>
    <row r="90" spans="1:32" x14ac:dyDescent="0.25">
      <c r="A90" s="92" t="s">
        <v>257</v>
      </c>
      <c r="B90" s="92">
        <f t="shared" ref="B90:AF90" si="85">B85-B86-B87-B88-B89</f>
        <v>-34647</v>
      </c>
      <c r="C90" s="92">
        <f t="shared" si="85"/>
        <v>-34961</v>
      </c>
      <c r="D90" s="92">
        <f t="shared" si="85"/>
        <v>-7242</v>
      </c>
      <c r="E90" s="92">
        <f t="shared" si="85"/>
        <v>2409</v>
      </c>
      <c r="F90" s="92">
        <f t="shared" si="85"/>
        <v>-21922</v>
      </c>
      <c r="G90" s="92">
        <f t="shared" si="85"/>
        <v>-31487</v>
      </c>
      <c r="H90" s="92">
        <f t="shared" si="85"/>
        <v>-50503</v>
      </c>
      <c r="I90" s="92">
        <f t="shared" si="85"/>
        <v>-3578.7000000000007</v>
      </c>
      <c r="J90" s="92">
        <f t="shared" si="85"/>
        <v>-10274.590000000002</v>
      </c>
      <c r="K90" s="92">
        <f t="shared" si="85"/>
        <v>-20045.30000000001</v>
      </c>
      <c r="L90" s="92">
        <f t="shared" si="85"/>
        <v>-49655</v>
      </c>
      <c r="M90" s="92">
        <f t="shared" si="85"/>
        <v>-99484</v>
      </c>
      <c r="N90" s="92">
        <f t="shared" si="85"/>
        <v>-71256</v>
      </c>
      <c r="O90" s="92">
        <f t="shared" si="85"/>
        <v>-8765.35</v>
      </c>
      <c r="P90" s="92">
        <f t="shared" si="85"/>
        <v>0</v>
      </c>
      <c r="Q90" s="92">
        <f t="shared" si="85"/>
        <v>-18042</v>
      </c>
      <c r="R90" s="92">
        <f t="shared" si="85"/>
        <v>-26619</v>
      </c>
      <c r="S90" s="92">
        <f t="shared" si="85"/>
        <v>-23681</v>
      </c>
      <c r="T90" s="92">
        <f t="shared" si="85"/>
        <v>-264414.19999999995</v>
      </c>
      <c r="U90" s="92">
        <f t="shared" si="85"/>
        <v>-8650</v>
      </c>
      <c r="V90" s="92">
        <f t="shared" si="85"/>
        <v>-11179</v>
      </c>
      <c r="W90" s="92">
        <f t="shared" si="85"/>
        <v>-39051</v>
      </c>
      <c r="X90" s="92">
        <f t="shared" si="85"/>
        <v>-25914</v>
      </c>
      <c r="Y90" s="92">
        <f t="shared" si="85"/>
        <v>-47706</v>
      </c>
      <c r="Z90" s="92">
        <f t="shared" si="85"/>
        <v>-4705</v>
      </c>
      <c r="AA90" s="92">
        <f t="shared" si="85"/>
        <v>-184431</v>
      </c>
      <c r="AB90" s="92">
        <f t="shared" si="85"/>
        <v>-64570</v>
      </c>
      <c r="AC90" s="92"/>
      <c r="AD90" s="92">
        <f t="shared" si="85"/>
        <v>-362231</v>
      </c>
      <c r="AE90" s="92">
        <f t="shared" si="85"/>
        <v>-306199</v>
      </c>
      <c r="AF90" s="92">
        <f t="shared" si="85"/>
        <v>-5761.2799999999988</v>
      </c>
    </row>
    <row r="91" spans="1:32" x14ac:dyDescent="0.25">
      <c r="A91" s="92" t="s">
        <v>258</v>
      </c>
      <c r="B91" s="91">
        <f t="shared" ref="B91:AF91" si="86">B90*100/B85</f>
        <v>-113.96664583401862</v>
      </c>
      <c r="C91" s="91">
        <f t="shared" si="86"/>
        <v>-44.315012929067585</v>
      </c>
      <c r="D91" s="91">
        <f t="shared" si="86"/>
        <v>-1.425077186761462</v>
      </c>
      <c r="E91" s="91">
        <f t="shared" si="86"/>
        <v>0.41599392155000475</v>
      </c>
      <c r="F91" s="91">
        <f t="shared" si="86"/>
        <v>-12.586553367399667</v>
      </c>
      <c r="G91" s="91">
        <f t="shared" si="86"/>
        <v>-12.26860239940463</v>
      </c>
      <c r="H91" s="91">
        <f t="shared" si="86"/>
        <v>-21.110205446527473</v>
      </c>
      <c r="I91" s="91">
        <f t="shared" si="86"/>
        <v>-6.1727351631504952</v>
      </c>
      <c r="J91" s="91">
        <f t="shared" si="86"/>
        <v>-60.282561949771342</v>
      </c>
      <c r="K91" s="91">
        <f t="shared" si="86"/>
        <v>-11.186193057018881</v>
      </c>
      <c r="L91" s="91">
        <f t="shared" si="86"/>
        <v>-9.6390336701317096</v>
      </c>
      <c r="M91" s="91">
        <f t="shared" si="86"/>
        <v>-10.240974397564006</v>
      </c>
      <c r="N91" s="91">
        <f t="shared" si="86"/>
        <v>-17.281178076942666</v>
      </c>
      <c r="O91" s="91">
        <f t="shared" si="86"/>
        <v>-24.979118404842765</v>
      </c>
      <c r="P91" s="91" t="e">
        <f t="shared" si="86"/>
        <v>#DIV/0!</v>
      </c>
      <c r="Q91" s="91">
        <f t="shared" si="86"/>
        <v>-27.395305050259651</v>
      </c>
      <c r="R91" s="91">
        <f t="shared" si="86"/>
        <v>-46.093506493506496</v>
      </c>
      <c r="S91" s="91">
        <f t="shared" si="86"/>
        <v>-20.029433904813459</v>
      </c>
      <c r="T91" s="91">
        <f t="shared" si="86"/>
        <v>-28.958769646947044</v>
      </c>
      <c r="U91" s="91">
        <f t="shared" si="86"/>
        <v>-137.08399366085578</v>
      </c>
      <c r="V91" s="91">
        <f t="shared" si="86"/>
        <v>-51.499516285069333</v>
      </c>
      <c r="W91" s="91">
        <f t="shared" si="86"/>
        <v>-10.023949052433794</v>
      </c>
      <c r="X91" s="91">
        <f t="shared" si="86"/>
        <v>-15.83636852526339</v>
      </c>
      <c r="Y91" s="91">
        <f t="shared" si="86"/>
        <v>-15.627426123018564</v>
      </c>
      <c r="Z91" s="91">
        <f t="shared" si="86"/>
        <v>-3.4025412390890879</v>
      </c>
      <c r="AA91" s="91">
        <f t="shared" si="86"/>
        <v>-25.658215996405115</v>
      </c>
      <c r="AB91" s="91">
        <f t="shared" si="86"/>
        <v>-13.547167515331568</v>
      </c>
      <c r="AC91" s="91"/>
      <c r="AD91" s="91">
        <f t="shared" si="86"/>
        <v>-41.893851776461879</v>
      </c>
      <c r="AE91" s="91">
        <f t="shared" si="86"/>
        <v>-31.827432800449035</v>
      </c>
      <c r="AF91" s="91">
        <f t="shared" si="86"/>
        <v>-6.1167344489505213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5.5703125" style="71" customWidth="1"/>
    <col min="2" max="65" width="16" style="71" customWidth="1"/>
    <col min="66" max="16384" width="9.140625" style="71"/>
  </cols>
  <sheetData>
    <row r="1" spans="1:65" ht="18.75" x14ac:dyDescent="0.3">
      <c r="A1" s="12" t="s">
        <v>249</v>
      </c>
    </row>
    <row r="2" spans="1:65" x14ac:dyDescent="0.25">
      <c r="A2" s="5" t="s">
        <v>98</v>
      </c>
    </row>
    <row r="3" spans="1:65" x14ac:dyDescent="0.25">
      <c r="A3" s="175" t="s">
        <v>0</v>
      </c>
      <c r="B3" s="153" t="s">
        <v>1</v>
      </c>
      <c r="C3" s="154"/>
      <c r="D3" s="153" t="s">
        <v>234</v>
      </c>
      <c r="E3" s="154"/>
      <c r="F3" s="153" t="s">
        <v>2</v>
      </c>
      <c r="G3" s="154"/>
      <c r="H3" s="153" t="s">
        <v>3</v>
      </c>
      <c r="I3" s="154"/>
      <c r="J3" s="153" t="s">
        <v>243</v>
      </c>
      <c r="K3" s="154"/>
      <c r="L3" s="153" t="s">
        <v>235</v>
      </c>
      <c r="M3" s="154"/>
      <c r="N3" s="153" t="s">
        <v>246</v>
      </c>
      <c r="O3" s="154"/>
      <c r="P3" s="153" t="s">
        <v>5</v>
      </c>
      <c r="Q3" s="154"/>
      <c r="R3" s="153" t="s">
        <v>4</v>
      </c>
      <c r="S3" s="154"/>
      <c r="T3" s="153" t="s">
        <v>6</v>
      </c>
      <c r="U3" s="154"/>
      <c r="V3" s="153" t="s">
        <v>246</v>
      </c>
      <c r="W3" s="154"/>
      <c r="X3" s="153" t="s">
        <v>7</v>
      </c>
      <c r="Y3" s="154"/>
      <c r="Z3" s="153" t="s">
        <v>8</v>
      </c>
      <c r="AA3" s="154"/>
      <c r="AB3" s="153" t="s">
        <v>9</v>
      </c>
      <c r="AC3" s="154"/>
      <c r="AD3" s="153" t="s">
        <v>242</v>
      </c>
      <c r="AE3" s="154"/>
      <c r="AF3" s="153" t="s">
        <v>10</v>
      </c>
      <c r="AG3" s="154"/>
      <c r="AH3" s="153" t="s">
        <v>11</v>
      </c>
      <c r="AI3" s="154"/>
      <c r="AJ3" s="153" t="s">
        <v>236</v>
      </c>
      <c r="AK3" s="154"/>
      <c r="AL3" s="153" t="s">
        <v>245</v>
      </c>
      <c r="AM3" s="154"/>
      <c r="AN3" s="153" t="s">
        <v>12</v>
      </c>
      <c r="AO3" s="154"/>
      <c r="AP3" s="153" t="s">
        <v>237</v>
      </c>
      <c r="AQ3" s="154"/>
      <c r="AR3" s="153" t="s">
        <v>238</v>
      </c>
      <c r="AS3" s="154"/>
      <c r="AT3" s="153" t="s">
        <v>241</v>
      </c>
      <c r="AU3" s="154"/>
      <c r="AV3" s="153" t="s">
        <v>13</v>
      </c>
      <c r="AW3" s="154"/>
      <c r="AX3" s="153" t="s">
        <v>14</v>
      </c>
      <c r="AY3" s="154"/>
      <c r="AZ3" s="153" t="s">
        <v>15</v>
      </c>
      <c r="BA3" s="154"/>
      <c r="BB3" s="153" t="s">
        <v>16</v>
      </c>
      <c r="BC3" s="154"/>
      <c r="BD3" s="153" t="s">
        <v>17</v>
      </c>
      <c r="BE3" s="154"/>
      <c r="BF3" s="153" t="s">
        <v>239</v>
      </c>
      <c r="BG3" s="154"/>
      <c r="BH3" s="153" t="s">
        <v>240</v>
      </c>
      <c r="BI3" s="154"/>
      <c r="BJ3" s="153" t="s">
        <v>18</v>
      </c>
      <c r="BK3" s="154"/>
      <c r="BL3" s="153" t="s">
        <v>19</v>
      </c>
      <c r="BM3" s="154"/>
    </row>
    <row r="4" spans="1:65" ht="30" x14ac:dyDescent="0.25">
      <c r="A4" s="176"/>
      <c r="B4" s="53" t="s">
        <v>303</v>
      </c>
      <c r="C4" s="54" t="s">
        <v>302</v>
      </c>
      <c r="D4" s="53" t="s">
        <v>303</v>
      </c>
      <c r="E4" s="54" t="s">
        <v>302</v>
      </c>
      <c r="F4" s="53" t="s">
        <v>303</v>
      </c>
      <c r="G4" s="54" t="s">
        <v>302</v>
      </c>
      <c r="H4" s="53" t="s">
        <v>303</v>
      </c>
      <c r="I4" s="54" t="s">
        <v>302</v>
      </c>
      <c r="J4" s="53" t="s">
        <v>303</v>
      </c>
      <c r="K4" s="54" t="s">
        <v>302</v>
      </c>
      <c r="L4" s="53" t="s">
        <v>303</v>
      </c>
      <c r="M4" s="54" t="s">
        <v>302</v>
      </c>
      <c r="N4" s="53" t="s">
        <v>303</v>
      </c>
      <c r="O4" s="54" t="s">
        <v>302</v>
      </c>
      <c r="P4" s="53" t="s">
        <v>303</v>
      </c>
      <c r="Q4" s="54" t="s">
        <v>302</v>
      </c>
      <c r="R4" s="53" t="s">
        <v>303</v>
      </c>
      <c r="S4" s="54" t="s">
        <v>302</v>
      </c>
      <c r="T4" s="53" t="s">
        <v>303</v>
      </c>
      <c r="U4" s="54" t="s">
        <v>302</v>
      </c>
      <c r="V4" s="53" t="s">
        <v>303</v>
      </c>
      <c r="W4" s="54" t="s">
        <v>302</v>
      </c>
      <c r="X4" s="53" t="s">
        <v>303</v>
      </c>
      <c r="Y4" s="54" t="s">
        <v>302</v>
      </c>
      <c r="Z4" s="53" t="s">
        <v>303</v>
      </c>
      <c r="AA4" s="54" t="s">
        <v>302</v>
      </c>
      <c r="AB4" s="53" t="s">
        <v>303</v>
      </c>
      <c r="AC4" s="54" t="s">
        <v>302</v>
      </c>
      <c r="AD4" s="53" t="s">
        <v>303</v>
      </c>
      <c r="AE4" s="54" t="s">
        <v>302</v>
      </c>
      <c r="AF4" s="53" t="s">
        <v>303</v>
      </c>
      <c r="AG4" s="54" t="s">
        <v>302</v>
      </c>
      <c r="AH4" s="53" t="s">
        <v>303</v>
      </c>
      <c r="AI4" s="54" t="s">
        <v>302</v>
      </c>
      <c r="AJ4" s="53" t="s">
        <v>303</v>
      </c>
      <c r="AK4" s="54" t="s">
        <v>302</v>
      </c>
      <c r="AL4" s="53" t="s">
        <v>303</v>
      </c>
      <c r="AM4" s="54" t="s">
        <v>302</v>
      </c>
      <c r="AN4" s="53" t="s">
        <v>303</v>
      </c>
      <c r="AO4" s="54" t="s">
        <v>302</v>
      </c>
      <c r="AP4" s="53" t="s">
        <v>303</v>
      </c>
      <c r="AQ4" s="54" t="s">
        <v>302</v>
      </c>
      <c r="AR4" s="53" t="s">
        <v>303</v>
      </c>
      <c r="AS4" s="54" t="s">
        <v>302</v>
      </c>
      <c r="AT4" s="53" t="s">
        <v>303</v>
      </c>
      <c r="AU4" s="54" t="s">
        <v>302</v>
      </c>
      <c r="AV4" s="53" t="s">
        <v>303</v>
      </c>
      <c r="AW4" s="54" t="s">
        <v>302</v>
      </c>
      <c r="AX4" s="53" t="s">
        <v>303</v>
      </c>
      <c r="AY4" s="54" t="s">
        <v>302</v>
      </c>
      <c r="AZ4" s="53" t="s">
        <v>303</v>
      </c>
      <c r="BA4" s="54" t="s">
        <v>302</v>
      </c>
      <c r="BB4" s="53" t="s">
        <v>303</v>
      </c>
      <c r="BC4" s="54" t="s">
        <v>302</v>
      </c>
      <c r="BD4" s="53" t="s">
        <v>303</v>
      </c>
      <c r="BE4" s="54" t="s">
        <v>302</v>
      </c>
      <c r="BF4" s="53" t="s">
        <v>303</v>
      </c>
      <c r="BG4" s="54" t="s">
        <v>302</v>
      </c>
      <c r="BH4" s="53" t="s">
        <v>303</v>
      </c>
      <c r="BI4" s="54" t="s">
        <v>302</v>
      </c>
      <c r="BJ4" s="53" t="s">
        <v>303</v>
      </c>
      <c r="BK4" s="54" t="s">
        <v>302</v>
      </c>
      <c r="BL4" s="53" t="s">
        <v>303</v>
      </c>
      <c r="BM4" s="54" t="s">
        <v>302</v>
      </c>
    </row>
    <row r="5" spans="1:65" x14ac:dyDescent="0.25">
      <c r="A5" s="92" t="s">
        <v>250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46"/>
      <c r="AW5" s="46"/>
      <c r="AX5" s="92"/>
      <c r="AY5" s="92"/>
      <c r="AZ5" s="92">
        <v>3145</v>
      </c>
      <c r="BA5" s="92">
        <v>5874</v>
      </c>
      <c r="BB5" s="92"/>
      <c r="BC5" s="92"/>
      <c r="BD5" s="92"/>
      <c r="BE5" s="92"/>
      <c r="BF5" s="92">
        <v>26794</v>
      </c>
      <c r="BG5" s="92">
        <v>66029</v>
      </c>
      <c r="BH5" s="92"/>
      <c r="BI5" s="92"/>
      <c r="BJ5" s="92"/>
      <c r="BK5" s="92"/>
      <c r="BL5" s="92"/>
      <c r="BM5" s="92"/>
    </row>
    <row r="6" spans="1:65" x14ac:dyDescent="0.25">
      <c r="A6" s="92" t="s">
        <v>251</v>
      </c>
      <c r="B6" s="92">
        <v>3164</v>
      </c>
      <c r="C6" s="92">
        <v>6907</v>
      </c>
      <c r="D6" s="92"/>
      <c r="E6" s="92"/>
      <c r="F6" s="92"/>
      <c r="G6" s="92"/>
      <c r="H6" s="92">
        <v>19108.98</v>
      </c>
      <c r="I6" s="92">
        <v>45350.77</v>
      </c>
      <c r="J6" s="92"/>
      <c r="K6" s="92"/>
      <c r="L6" s="92"/>
      <c r="M6" s="92"/>
      <c r="N6" s="92"/>
      <c r="O6" s="92"/>
      <c r="P6" s="92"/>
      <c r="Q6" s="92"/>
      <c r="R6" s="92">
        <v>699.73</v>
      </c>
      <c r="S6" s="92">
        <v>1083.6300000000001</v>
      </c>
      <c r="T6" s="92">
        <v>6206.1</v>
      </c>
      <c r="U6" s="92">
        <v>14288.55</v>
      </c>
      <c r="V6" s="92">
        <v>18589</v>
      </c>
      <c r="W6" s="92">
        <v>37523</v>
      </c>
      <c r="X6" s="92">
        <v>9911</v>
      </c>
      <c r="Y6" s="92">
        <v>24623</v>
      </c>
      <c r="Z6" s="92">
        <v>50767</v>
      </c>
      <c r="AA6" s="92">
        <v>97327</v>
      </c>
      <c r="AB6" s="92">
        <v>23827</v>
      </c>
      <c r="AC6" s="92">
        <v>50561</v>
      </c>
      <c r="AD6" s="92">
        <v>636.09</v>
      </c>
      <c r="AE6" s="92">
        <v>1184.22</v>
      </c>
      <c r="AF6" s="92">
        <v>1498</v>
      </c>
      <c r="AG6" s="92">
        <v>3093</v>
      </c>
      <c r="AH6" s="92">
        <v>2381</v>
      </c>
      <c r="AI6" s="92">
        <v>5200</v>
      </c>
      <c r="AJ6" s="92"/>
      <c r="AK6" s="92"/>
      <c r="AL6" s="92"/>
      <c r="AM6" s="92"/>
      <c r="AN6" s="92"/>
      <c r="AO6" s="92"/>
      <c r="AP6" s="30">
        <v>709.21</v>
      </c>
      <c r="AQ6" s="30">
        <v>1243.6600000000001</v>
      </c>
      <c r="AR6">
        <v>97.55</v>
      </c>
      <c r="AS6">
        <v>790.71</v>
      </c>
      <c r="AT6" s="92">
        <v>8316</v>
      </c>
      <c r="AU6" s="92">
        <v>20839</v>
      </c>
      <c r="AV6" s="151">
        <v>1489.9893099999999</v>
      </c>
      <c r="AW6" s="151">
        <v>3263.9536899999998</v>
      </c>
      <c r="AX6" s="92">
        <v>4036.19</v>
      </c>
      <c r="AY6" s="92">
        <v>15218.91</v>
      </c>
      <c r="AZ6" s="92"/>
      <c r="BA6" s="92"/>
      <c r="BB6" s="92"/>
      <c r="BC6" s="92"/>
      <c r="BD6" s="92">
        <v>10073</v>
      </c>
      <c r="BE6" s="92">
        <v>20072</v>
      </c>
      <c r="BF6" s="92"/>
      <c r="BG6" s="92"/>
      <c r="BH6" s="92">
        <v>10129</v>
      </c>
      <c r="BI6" s="92">
        <v>25295</v>
      </c>
      <c r="BJ6" s="92">
        <v>26068.93</v>
      </c>
      <c r="BK6" s="92">
        <v>67936.98</v>
      </c>
      <c r="BL6" s="92">
        <v>10672.44</v>
      </c>
      <c r="BM6" s="92">
        <v>11653.66</v>
      </c>
    </row>
    <row r="7" spans="1:65" x14ac:dyDescent="0.25">
      <c r="A7" s="92" t="s">
        <v>250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151"/>
      <c r="AW7" s="151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</row>
    <row r="8" spans="1:65" x14ac:dyDescent="0.25">
      <c r="A8" s="92" t="s">
        <v>252</v>
      </c>
      <c r="B8" s="92">
        <v>7968</v>
      </c>
      <c r="C8" s="92">
        <v>18853</v>
      </c>
      <c r="D8" s="92"/>
      <c r="E8" s="92"/>
      <c r="F8" s="92"/>
      <c r="G8" s="92"/>
      <c r="H8" s="92">
        <v>63126.559999999998</v>
      </c>
      <c r="I8" s="92">
        <v>154320.37</v>
      </c>
      <c r="J8" s="92"/>
      <c r="K8" s="92"/>
      <c r="L8" s="92"/>
      <c r="M8" s="92"/>
      <c r="N8" s="92"/>
      <c r="O8" s="92"/>
      <c r="P8" s="92"/>
      <c r="Q8" s="92"/>
      <c r="R8" s="92">
        <v>2113.63</v>
      </c>
      <c r="S8" s="92">
        <v>4451.1400000000003</v>
      </c>
      <c r="T8" s="92">
        <v>17082.36</v>
      </c>
      <c r="U8" s="92">
        <v>47356.34</v>
      </c>
      <c r="V8" s="92">
        <v>52213</v>
      </c>
      <c r="W8" s="92">
        <v>106590</v>
      </c>
      <c r="X8" s="92">
        <v>49340</v>
      </c>
      <c r="Y8" s="92">
        <v>120256</v>
      </c>
      <c r="Z8" s="92">
        <v>81048</v>
      </c>
      <c r="AA8" s="92">
        <v>192667</v>
      </c>
      <c r="AB8" s="92">
        <v>39890</v>
      </c>
      <c r="AC8" s="92">
        <v>95799</v>
      </c>
      <c r="AD8" s="92">
        <v>4119.99</v>
      </c>
      <c r="AE8" s="92">
        <v>9187.9</v>
      </c>
      <c r="AF8" s="92">
        <v>13083</v>
      </c>
      <c r="AG8" s="92">
        <v>30450</v>
      </c>
      <c r="AH8" s="92">
        <v>23242</v>
      </c>
      <c r="AI8" s="92">
        <v>55799</v>
      </c>
      <c r="AJ8" s="92"/>
      <c r="AK8" s="92"/>
      <c r="AL8" s="92"/>
      <c r="AM8" s="92"/>
      <c r="AN8" s="92"/>
      <c r="AO8" s="92"/>
      <c r="AP8" s="30">
        <v>497.03</v>
      </c>
      <c r="AQ8" s="30">
        <v>1363.95</v>
      </c>
      <c r="AR8" s="146">
        <v>1677.58</v>
      </c>
      <c r="AS8" s="146">
        <v>5225.6499999999996</v>
      </c>
      <c r="AT8" s="92">
        <v>49693</v>
      </c>
      <c r="AU8" s="92">
        <v>126995</v>
      </c>
      <c r="AV8" s="151">
        <v>25134.681929999999</v>
      </c>
      <c r="AW8" s="151">
        <v>65245.457990000003</v>
      </c>
      <c r="AX8" s="92">
        <v>35469.120000000003</v>
      </c>
      <c r="AY8" s="92">
        <v>74672.62</v>
      </c>
      <c r="AZ8" s="92">
        <v>32751</v>
      </c>
      <c r="BA8" s="92">
        <v>85973</v>
      </c>
      <c r="BB8" s="92"/>
      <c r="BC8" s="92"/>
      <c r="BD8" s="92">
        <v>68063</v>
      </c>
      <c r="BE8" s="92">
        <v>171071</v>
      </c>
      <c r="BF8" s="92">
        <v>133539</v>
      </c>
      <c r="BG8" s="92">
        <v>332964</v>
      </c>
      <c r="BH8" s="92">
        <v>62521</v>
      </c>
      <c r="BI8" s="92">
        <v>154678</v>
      </c>
      <c r="BJ8" s="92">
        <v>86566.01</v>
      </c>
      <c r="BK8" s="92">
        <v>223116.25</v>
      </c>
      <c r="BL8" s="92">
        <v>11481.3</v>
      </c>
      <c r="BM8" s="92">
        <v>27638.16</v>
      </c>
    </row>
    <row r="9" spans="1:65" x14ac:dyDescent="0.25">
      <c r="A9" s="92" t="s">
        <v>253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151"/>
      <c r="AW9" s="151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</row>
    <row r="10" spans="1:65" s="7" customFormat="1" x14ac:dyDescent="0.25">
      <c r="A10" s="10" t="s">
        <v>254</v>
      </c>
      <c r="B10" s="10">
        <f>B6+B8</f>
        <v>11132</v>
      </c>
      <c r="C10" s="10">
        <f>C6+C8</f>
        <v>25760</v>
      </c>
      <c r="D10" s="10"/>
      <c r="E10" s="10"/>
      <c r="F10" s="10"/>
      <c r="G10" s="10"/>
      <c r="H10" s="10">
        <v>82235.55</v>
      </c>
      <c r="I10" s="10">
        <v>199671.14</v>
      </c>
      <c r="J10" s="10"/>
      <c r="K10" s="10"/>
      <c r="L10" s="10"/>
      <c r="M10" s="10"/>
      <c r="N10" s="10"/>
      <c r="O10" s="10"/>
      <c r="P10" s="10"/>
      <c r="Q10" s="10"/>
      <c r="R10" s="10">
        <v>2813.37</v>
      </c>
      <c r="S10" s="10">
        <v>5534.77</v>
      </c>
      <c r="T10" s="10">
        <v>23288.46</v>
      </c>
      <c r="U10" s="10">
        <v>61644.88</v>
      </c>
      <c r="V10" s="10">
        <v>70802</v>
      </c>
      <c r="W10" s="10">
        <v>144113</v>
      </c>
      <c r="X10" s="10">
        <v>59251</v>
      </c>
      <c r="Y10" s="10">
        <v>144879</v>
      </c>
      <c r="Z10" s="10">
        <v>131814</v>
      </c>
      <c r="AA10" s="10">
        <v>289994</v>
      </c>
      <c r="AB10" s="10">
        <v>63717</v>
      </c>
      <c r="AC10" s="10">
        <v>146360</v>
      </c>
      <c r="AD10" s="10">
        <v>4756.07</v>
      </c>
      <c r="AE10" s="10">
        <v>10372.120000000001</v>
      </c>
      <c r="AF10" s="10">
        <v>14581</v>
      </c>
      <c r="AG10" s="10">
        <v>33543</v>
      </c>
      <c r="AH10" s="10">
        <v>25623</v>
      </c>
      <c r="AI10" s="10">
        <v>60999</v>
      </c>
      <c r="AJ10" s="10"/>
      <c r="AK10" s="10"/>
      <c r="AL10" s="10"/>
      <c r="AM10" s="10"/>
      <c r="AN10" s="10"/>
      <c r="AO10" s="10"/>
      <c r="AP10" s="30">
        <v>1206.23</v>
      </c>
      <c r="AQ10" s="30">
        <v>2607.61</v>
      </c>
      <c r="AR10" s="146">
        <v>1775.13</v>
      </c>
      <c r="AS10" s="146">
        <v>6016.36</v>
      </c>
      <c r="AT10" s="10">
        <v>58009</v>
      </c>
      <c r="AU10" s="10">
        <v>147835</v>
      </c>
      <c r="AV10" s="152">
        <v>26624.671249999999</v>
      </c>
      <c r="AW10" s="152">
        <v>68509.411680000005</v>
      </c>
      <c r="AX10" s="10">
        <v>39505.31</v>
      </c>
      <c r="AY10" s="10">
        <v>89891.53</v>
      </c>
      <c r="AZ10" s="10">
        <v>35895</v>
      </c>
      <c r="BA10" s="10">
        <v>91847</v>
      </c>
      <c r="BB10" s="10"/>
      <c r="BC10" s="10"/>
      <c r="BD10" s="10">
        <v>78136</v>
      </c>
      <c r="BE10" s="10">
        <v>191143</v>
      </c>
      <c r="BF10" s="10">
        <v>160333</v>
      </c>
      <c r="BG10" s="10">
        <v>398993</v>
      </c>
      <c r="BH10" s="10">
        <v>72650</v>
      </c>
      <c r="BI10" s="10">
        <v>179973</v>
      </c>
      <c r="BJ10" s="10">
        <v>223116.25</v>
      </c>
      <c r="BK10" s="10">
        <v>291053.24</v>
      </c>
      <c r="BL10" s="10">
        <v>22153.74</v>
      </c>
      <c r="BM10" s="10">
        <v>39291.81</v>
      </c>
    </row>
    <row r="11" spans="1:65" s="7" customFormat="1" x14ac:dyDescent="0.25">
      <c r="A11" s="10" t="s">
        <v>255</v>
      </c>
      <c r="B11" s="10">
        <v>4521</v>
      </c>
      <c r="C11" s="10">
        <v>10419</v>
      </c>
      <c r="D11" s="10"/>
      <c r="E11" s="10"/>
      <c r="F11" s="10"/>
      <c r="G11" s="10"/>
      <c r="H11" s="10">
        <v>57990.99</v>
      </c>
      <c r="I11" s="10">
        <v>147806.75</v>
      </c>
      <c r="J11" s="10"/>
      <c r="K11" s="10"/>
      <c r="L11" s="10"/>
      <c r="M11" s="10"/>
      <c r="N11" s="10"/>
      <c r="O11" s="10"/>
      <c r="P11" s="10"/>
      <c r="Q11" s="10"/>
      <c r="R11" s="10">
        <v>3524.8</v>
      </c>
      <c r="S11" s="10">
        <v>8291.43</v>
      </c>
      <c r="T11" s="10">
        <v>17634.53</v>
      </c>
      <c r="U11" s="10">
        <v>50776.87</v>
      </c>
      <c r="V11" s="10">
        <v>24907</v>
      </c>
      <c r="W11" s="10">
        <v>56126</v>
      </c>
      <c r="X11" s="10">
        <v>44934</v>
      </c>
      <c r="Y11" s="10">
        <v>111876</v>
      </c>
      <c r="Z11" s="10">
        <v>125091</v>
      </c>
      <c r="AA11" s="10">
        <v>291492</v>
      </c>
      <c r="AB11" s="10">
        <v>48094</v>
      </c>
      <c r="AC11" s="10">
        <v>122631</v>
      </c>
      <c r="AD11" s="10">
        <v>8205.5400000000009</v>
      </c>
      <c r="AE11" s="10">
        <v>15561.57</v>
      </c>
      <c r="AF11" s="10">
        <v>14752</v>
      </c>
      <c r="AG11" s="10">
        <v>36798</v>
      </c>
      <c r="AH11" s="10">
        <v>12737</v>
      </c>
      <c r="AI11" s="10">
        <v>29080</v>
      </c>
      <c r="AJ11" s="10"/>
      <c r="AK11" s="10"/>
      <c r="AL11" s="10"/>
      <c r="AM11" s="10"/>
      <c r="AN11" s="10"/>
      <c r="AO11" s="10"/>
      <c r="AP11" s="30">
        <v>230.7</v>
      </c>
      <c r="AQ11" s="30">
        <v>690.54</v>
      </c>
      <c r="AR11" s="146">
        <v>4723.8100000000004</v>
      </c>
      <c r="AS11" s="146">
        <v>13886.21</v>
      </c>
      <c r="AT11" s="10">
        <v>48357</v>
      </c>
      <c r="AU11" s="10">
        <v>116851</v>
      </c>
      <c r="AV11" s="152">
        <v>27553.212940000001</v>
      </c>
      <c r="AW11" s="152">
        <v>73343.974140000006</v>
      </c>
      <c r="AX11" s="10">
        <v>35698</v>
      </c>
      <c r="AY11" s="10">
        <v>81327.81</v>
      </c>
      <c r="AZ11" s="10">
        <v>9389</v>
      </c>
      <c r="BA11" s="10">
        <v>25900</v>
      </c>
      <c r="BB11" s="10"/>
      <c r="BC11" s="10"/>
      <c r="BD11" s="10">
        <v>67869</v>
      </c>
      <c r="BE11" s="10">
        <v>163737</v>
      </c>
      <c r="BF11" s="10">
        <v>76068</v>
      </c>
      <c r="BG11" s="10">
        <v>186166</v>
      </c>
      <c r="BH11" s="10">
        <v>31645</v>
      </c>
      <c r="BI11" s="10">
        <v>70424</v>
      </c>
      <c r="BJ11" s="10">
        <v>41485.230000000003</v>
      </c>
      <c r="BK11" s="10">
        <v>103225.17</v>
      </c>
      <c r="BL11" s="10">
        <v>21715.39</v>
      </c>
      <c r="BM11" s="10">
        <v>48777.35</v>
      </c>
    </row>
    <row r="12" spans="1:65" s="7" customFormat="1" x14ac:dyDescent="0.25">
      <c r="A12" s="10" t="s">
        <v>256</v>
      </c>
      <c r="B12" s="10">
        <v>28376</v>
      </c>
      <c r="C12" s="10">
        <v>69842</v>
      </c>
      <c r="D12" s="10"/>
      <c r="E12" s="10"/>
      <c r="F12" s="10"/>
      <c r="G12" s="10"/>
      <c r="H12" s="10">
        <v>293656.84999999998</v>
      </c>
      <c r="I12" s="10">
        <v>1041968.61</v>
      </c>
      <c r="J12" s="10"/>
      <c r="K12" s="10"/>
      <c r="L12" s="10"/>
      <c r="M12" s="10"/>
      <c r="N12" s="10"/>
      <c r="O12" s="10"/>
      <c r="P12" s="10"/>
      <c r="Q12" s="10"/>
      <c r="R12" s="10">
        <v>11284.56</v>
      </c>
      <c r="S12" s="10">
        <v>26682.720000000001</v>
      </c>
      <c r="T12" s="10">
        <v>108839.58</v>
      </c>
      <c r="U12" s="10">
        <v>290601.2</v>
      </c>
      <c r="V12" s="10">
        <v>139006</v>
      </c>
      <c r="W12" s="10">
        <v>317018</v>
      </c>
      <c r="X12" s="10">
        <v>302193</v>
      </c>
      <c r="Y12" s="10">
        <v>954712</v>
      </c>
      <c r="Z12" s="10">
        <v>469858</v>
      </c>
      <c r="AA12" s="10">
        <v>1331122</v>
      </c>
      <c r="AB12" s="10">
        <v>194928</v>
      </c>
      <c r="AC12" s="10">
        <v>631449</v>
      </c>
      <c r="AD12" s="10">
        <v>22288.04</v>
      </c>
      <c r="AE12" s="10">
        <v>50055.47</v>
      </c>
      <c r="AF12" s="10">
        <v>38179</v>
      </c>
      <c r="AG12" s="10">
        <v>107136</v>
      </c>
      <c r="AH12" s="10">
        <v>46918</v>
      </c>
      <c r="AI12" s="10">
        <v>115891</v>
      </c>
      <c r="AJ12" s="10"/>
      <c r="AK12" s="10"/>
      <c r="AL12" s="10"/>
      <c r="AM12" s="10"/>
      <c r="AN12" s="10"/>
      <c r="AO12" s="10"/>
      <c r="AP12" s="30">
        <v>2930.25</v>
      </c>
      <c r="AQ12" s="30">
        <v>6591.14</v>
      </c>
      <c r="AR12" s="146">
        <v>8562.94</v>
      </c>
      <c r="AS12" s="146">
        <v>27157.59</v>
      </c>
      <c r="AT12" s="10">
        <v>213081</v>
      </c>
      <c r="AU12" s="10">
        <v>720333</v>
      </c>
      <c r="AV12" s="152">
        <v>71238.410900000003</v>
      </c>
      <c r="AW12" s="152">
        <v>206517.50566</v>
      </c>
      <c r="AX12" s="10">
        <v>184296.22</v>
      </c>
      <c r="AY12" s="10">
        <v>597191.29</v>
      </c>
      <c r="AZ12" s="10">
        <v>48823</v>
      </c>
      <c r="BA12" s="10">
        <v>126886</v>
      </c>
      <c r="BB12" s="10"/>
      <c r="BC12" s="10"/>
      <c r="BD12" s="10">
        <v>258558</v>
      </c>
      <c r="BE12" s="10">
        <v>695213</v>
      </c>
      <c r="BF12" s="10">
        <v>873227</v>
      </c>
      <c r="BG12" s="10">
        <v>2553528</v>
      </c>
      <c r="BH12" s="10">
        <v>381690</v>
      </c>
      <c r="BI12" s="10">
        <v>1060496</v>
      </c>
      <c r="BJ12" s="10">
        <v>348636.68</v>
      </c>
      <c r="BK12" s="10">
        <v>1100383.24</v>
      </c>
      <c r="BL12" s="10">
        <v>94704.21</v>
      </c>
      <c r="BM12" s="10">
        <v>251705.81</v>
      </c>
    </row>
  </sheetData>
  <mergeCells count="33">
    <mergeCell ref="AD3:AE3"/>
    <mergeCell ref="B3:C3"/>
    <mergeCell ref="D3:E3"/>
    <mergeCell ref="F3:G3"/>
    <mergeCell ref="H3:I3"/>
    <mergeCell ref="J3:K3"/>
    <mergeCell ref="L3:M3"/>
    <mergeCell ref="V3:W3"/>
    <mergeCell ref="R3:S3"/>
    <mergeCell ref="T3:U3"/>
    <mergeCell ref="BL3:BM3"/>
    <mergeCell ref="AR3:AS3"/>
    <mergeCell ref="AT3:AU3"/>
    <mergeCell ref="AV3:AW3"/>
    <mergeCell ref="AX3:AY3"/>
    <mergeCell ref="AZ3:BA3"/>
    <mergeCell ref="BB3:BC3"/>
    <mergeCell ref="A3:A4"/>
    <mergeCell ref="BD3:BE3"/>
    <mergeCell ref="BF3:BG3"/>
    <mergeCell ref="BH3:BI3"/>
    <mergeCell ref="BJ3:BK3"/>
    <mergeCell ref="AF3:AG3"/>
    <mergeCell ref="AH3:AI3"/>
    <mergeCell ref="AJ3:AK3"/>
    <mergeCell ref="AL3:AM3"/>
    <mergeCell ref="AN3:AO3"/>
    <mergeCell ref="AP3:AQ3"/>
    <mergeCell ref="N3:O3"/>
    <mergeCell ref="P3:Q3"/>
    <mergeCell ref="X3:Y3"/>
    <mergeCell ref="Z3:AA3"/>
    <mergeCell ref="AB3:A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 x14ac:dyDescent="0.25"/>
  <cols>
    <col min="1" max="1" width="36.710937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304</v>
      </c>
    </row>
    <row r="2" spans="1:33" x14ac:dyDescent="0.25">
      <c r="A2" s="13" t="s">
        <v>98</v>
      </c>
    </row>
    <row r="3" spans="1:33" x14ac:dyDescent="0.25">
      <c r="A3" s="1" t="s">
        <v>0</v>
      </c>
      <c r="B3" s="70" t="s">
        <v>1</v>
      </c>
      <c r="C3" s="70" t="s">
        <v>234</v>
      </c>
      <c r="D3" s="70" t="s">
        <v>2</v>
      </c>
      <c r="E3" s="70" t="s">
        <v>3</v>
      </c>
      <c r="F3" s="70" t="s">
        <v>243</v>
      </c>
      <c r="G3" s="104" t="s">
        <v>235</v>
      </c>
      <c r="H3" s="107" t="s">
        <v>246</v>
      </c>
      <c r="I3" s="104" t="s">
        <v>5</v>
      </c>
      <c r="J3" s="104" t="s">
        <v>4</v>
      </c>
      <c r="K3" s="104" t="s">
        <v>6</v>
      </c>
      <c r="L3" s="104" t="s">
        <v>7</v>
      </c>
      <c r="M3" s="104" t="s">
        <v>8</v>
      </c>
      <c r="N3" s="104" t="s">
        <v>9</v>
      </c>
      <c r="O3" s="104" t="s">
        <v>242</v>
      </c>
      <c r="P3" s="104" t="s">
        <v>10</v>
      </c>
      <c r="Q3" s="104" t="s">
        <v>11</v>
      </c>
      <c r="R3" s="104" t="s">
        <v>236</v>
      </c>
      <c r="S3" s="104" t="s">
        <v>245</v>
      </c>
      <c r="T3" s="104" t="s">
        <v>12</v>
      </c>
      <c r="U3" s="104" t="s">
        <v>237</v>
      </c>
      <c r="V3" s="104" t="s">
        <v>238</v>
      </c>
      <c r="W3" s="104" t="s">
        <v>241</v>
      </c>
      <c r="X3" s="70" t="s">
        <v>13</v>
      </c>
      <c r="Y3" s="70" t="s">
        <v>14</v>
      </c>
      <c r="Z3" s="70" t="s">
        <v>15</v>
      </c>
      <c r="AA3" s="70" t="s">
        <v>16</v>
      </c>
      <c r="AB3" s="70" t="s">
        <v>17</v>
      </c>
      <c r="AC3" s="79" t="s">
        <v>239</v>
      </c>
      <c r="AD3" s="79" t="s">
        <v>240</v>
      </c>
      <c r="AE3" s="79" t="s">
        <v>18</v>
      </c>
      <c r="AF3" s="70" t="s">
        <v>19</v>
      </c>
      <c r="AG3" s="78" t="s">
        <v>20</v>
      </c>
    </row>
    <row r="4" spans="1:33" x14ac:dyDescent="0.25">
      <c r="A4" s="3" t="s">
        <v>194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63"/>
    </row>
    <row r="5" spans="1:33" x14ac:dyDescent="0.25">
      <c r="A5" s="20" t="s">
        <v>195</v>
      </c>
      <c r="B5" s="76">
        <v>105600</v>
      </c>
      <c r="C5" s="76">
        <v>43130</v>
      </c>
      <c r="D5" s="76">
        <v>20000</v>
      </c>
      <c r="E5" s="76">
        <v>11023</v>
      </c>
      <c r="F5" s="76">
        <v>86755</v>
      </c>
      <c r="G5" s="76">
        <v>29881</v>
      </c>
      <c r="H5" s="76">
        <v>83835</v>
      </c>
      <c r="I5" s="76">
        <v>345000</v>
      </c>
      <c r="J5" s="76">
        <v>48300</v>
      </c>
      <c r="K5" s="76">
        <v>90480.37</v>
      </c>
      <c r="L5" s="76">
        <v>71278</v>
      </c>
      <c r="M5" s="76">
        <v>49081</v>
      </c>
      <c r="N5" s="76">
        <v>28025</v>
      </c>
      <c r="O5" s="76">
        <v>45500</v>
      </c>
      <c r="P5" s="76">
        <v>108623</v>
      </c>
      <c r="Q5" s="76">
        <v>15470.73</v>
      </c>
      <c r="R5" s="76">
        <v>108141.95</v>
      </c>
      <c r="S5" s="76">
        <v>140642</v>
      </c>
      <c r="T5" s="76">
        <v>567500</v>
      </c>
      <c r="U5" s="76">
        <v>49579</v>
      </c>
      <c r="V5" s="76">
        <v>28397</v>
      </c>
      <c r="W5" s="76">
        <v>25155</v>
      </c>
      <c r="X5" s="76">
        <v>44900</v>
      </c>
      <c r="Y5" s="76">
        <v>21562</v>
      </c>
      <c r="Z5" s="76">
        <v>25916</v>
      </c>
      <c r="AA5" s="76">
        <v>57552</v>
      </c>
      <c r="AB5" s="76">
        <v>99446</v>
      </c>
      <c r="AC5" s="76">
        <v>82400</v>
      </c>
      <c r="AD5" s="76">
        <v>342000</v>
      </c>
      <c r="AE5" s="76">
        <v>380500</v>
      </c>
      <c r="AF5" s="76">
        <v>36818</v>
      </c>
      <c r="AG5" s="64">
        <f t="shared" ref="AG5:AG12" si="0">SUM(B5:AF5)</f>
        <v>3192491.05</v>
      </c>
    </row>
    <row r="6" spans="1:33" x14ac:dyDescent="0.25">
      <c r="A6" s="20" t="s">
        <v>196</v>
      </c>
      <c r="B6" s="76">
        <v>527</v>
      </c>
      <c r="C6" s="76">
        <v>133970</v>
      </c>
      <c r="D6" s="76">
        <v>497654</v>
      </c>
      <c r="E6" s="76">
        <v>799040</v>
      </c>
      <c r="F6" s="76">
        <v>31266</v>
      </c>
      <c r="G6" s="76">
        <v>164738</v>
      </c>
      <c r="H6" s="76">
        <v>137696</v>
      </c>
      <c r="I6" s="76">
        <v>369191.39</v>
      </c>
      <c r="J6" s="76"/>
      <c r="K6" s="76">
        <v>30867.47</v>
      </c>
      <c r="L6" s="76">
        <v>285424</v>
      </c>
      <c r="M6" s="76">
        <v>830060</v>
      </c>
      <c r="N6" s="76">
        <v>298870</v>
      </c>
      <c r="O6" s="76"/>
      <c r="P6" s="76">
        <v>74812</v>
      </c>
      <c r="Q6" s="76">
        <v>27962.240000000002</v>
      </c>
      <c r="R6" s="76">
        <v>34234.550000000003</v>
      </c>
      <c r="S6" s="76">
        <v>12504</v>
      </c>
      <c r="T6" s="76">
        <v>799.66</v>
      </c>
      <c r="U6" s="76"/>
      <c r="V6" s="76">
        <v>12315</v>
      </c>
      <c r="W6" s="76">
        <v>199907</v>
      </c>
      <c r="X6" s="76">
        <v>99988</v>
      </c>
      <c r="Y6" s="76">
        <v>262759</v>
      </c>
      <c r="Z6" s="76">
        <v>203727</v>
      </c>
      <c r="AA6" s="76">
        <v>570826</v>
      </c>
      <c r="AB6" s="76">
        <v>234705</v>
      </c>
      <c r="AC6" s="76">
        <v>1870843</v>
      </c>
      <c r="AD6" s="76">
        <v>-237040</v>
      </c>
      <c r="AE6" s="76">
        <v>10971</v>
      </c>
      <c r="AF6" s="76">
        <v>73156</v>
      </c>
      <c r="AG6" s="64">
        <f t="shared" si="0"/>
        <v>7031773.3100000005</v>
      </c>
    </row>
    <row r="7" spans="1:33" x14ac:dyDescent="0.25">
      <c r="A7" s="20" t="s">
        <v>305</v>
      </c>
      <c r="B7" s="92">
        <v>4</v>
      </c>
      <c r="C7" s="92"/>
      <c r="D7" s="92">
        <v>587</v>
      </c>
      <c r="E7" s="92">
        <v>14898</v>
      </c>
      <c r="F7" s="92">
        <v>-92</v>
      </c>
      <c r="G7" s="92">
        <v>376</v>
      </c>
      <c r="H7" s="92">
        <v>8079</v>
      </c>
      <c r="I7" s="92">
        <v>34661.07</v>
      </c>
      <c r="J7" s="92">
        <v>97</v>
      </c>
      <c r="K7" s="92">
        <v>-4.07</v>
      </c>
      <c r="L7" s="92">
        <v>1392</v>
      </c>
      <c r="M7" s="92">
        <v>14829</v>
      </c>
      <c r="N7" s="92">
        <v>32</v>
      </c>
      <c r="O7" s="92">
        <v>33.44</v>
      </c>
      <c r="P7" s="92">
        <v>4</v>
      </c>
      <c r="Q7" s="92">
        <v>0.43</v>
      </c>
      <c r="R7" s="92">
        <v>0.34</v>
      </c>
      <c r="S7" s="92">
        <v>31</v>
      </c>
      <c r="T7" s="92">
        <v>98.13</v>
      </c>
      <c r="U7" s="92">
        <v>1</v>
      </c>
      <c r="V7" s="92"/>
      <c r="W7" s="92">
        <v>919</v>
      </c>
      <c r="X7" s="92">
        <v>2790</v>
      </c>
      <c r="Y7" s="92">
        <v>13081</v>
      </c>
      <c r="Z7" s="92">
        <v>1270</v>
      </c>
      <c r="AA7" s="92">
        <v>675</v>
      </c>
      <c r="AB7" s="92">
        <v>15490</v>
      </c>
      <c r="AC7" s="92"/>
      <c r="AD7" s="92">
        <v>9719</v>
      </c>
      <c r="AE7" s="92">
        <v>33200</v>
      </c>
      <c r="AF7" s="92">
        <v>79</v>
      </c>
      <c r="AG7" s="64">
        <f t="shared" si="0"/>
        <v>152250.34</v>
      </c>
    </row>
    <row r="8" spans="1:33" x14ac:dyDescent="0.25">
      <c r="A8" s="20" t="s">
        <v>306</v>
      </c>
      <c r="B8" s="92">
        <v>8</v>
      </c>
      <c r="C8" s="92">
        <v>25</v>
      </c>
      <c r="D8" s="92">
        <v>2166</v>
      </c>
      <c r="E8" s="92">
        <v>33247</v>
      </c>
      <c r="F8" s="92">
        <v>8</v>
      </c>
      <c r="G8" s="92">
        <v>2619</v>
      </c>
      <c r="H8" s="92">
        <v>162</v>
      </c>
      <c r="I8" s="92">
        <v>42363.53</v>
      </c>
      <c r="J8" s="92">
        <v>263</v>
      </c>
      <c r="K8" s="92">
        <v>-13.84</v>
      </c>
      <c r="L8" s="92">
        <v>5048</v>
      </c>
      <c r="M8" s="92">
        <v>48898</v>
      </c>
      <c r="N8" s="92">
        <v>113</v>
      </c>
      <c r="O8" s="92">
        <v>108.91</v>
      </c>
      <c r="P8" s="92">
        <v>9</v>
      </c>
      <c r="Q8" s="92">
        <v>3.27</v>
      </c>
      <c r="R8" s="92">
        <v>1.98</v>
      </c>
      <c r="S8" s="92"/>
      <c r="T8" s="92">
        <v>276985.8</v>
      </c>
      <c r="U8" s="92"/>
      <c r="V8" s="92"/>
      <c r="W8" s="92">
        <v>4851</v>
      </c>
      <c r="X8" s="92">
        <v>12923</v>
      </c>
      <c r="Y8" s="92">
        <v>3</v>
      </c>
      <c r="Z8" s="92"/>
      <c r="AA8" s="92">
        <v>962</v>
      </c>
      <c r="AB8" s="92">
        <v>81835</v>
      </c>
      <c r="AC8" s="92"/>
      <c r="AD8" s="92">
        <v>527231</v>
      </c>
      <c r="AE8" s="92">
        <v>334870</v>
      </c>
      <c r="AF8" s="92">
        <v>253</v>
      </c>
      <c r="AG8" s="64">
        <f t="shared" si="0"/>
        <v>1374943.65</v>
      </c>
    </row>
    <row r="9" spans="1:33" s="32" customFormat="1" x14ac:dyDescent="0.25">
      <c r="A9" s="14" t="s">
        <v>197</v>
      </c>
      <c r="B9" s="31">
        <f>B7+B8</f>
        <v>12</v>
      </c>
      <c r="C9" s="31">
        <f t="shared" ref="C9:AF9" si="1">C7+C8</f>
        <v>25</v>
      </c>
      <c r="D9" s="31">
        <f t="shared" si="1"/>
        <v>2753</v>
      </c>
      <c r="E9" s="31">
        <f t="shared" si="1"/>
        <v>48145</v>
      </c>
      <c r="F9" s="31">
        <f t="shared" si="1"/>
        <v>-84</v>
      </c>
      <c r="G9" s="31">
        <f t="shared" si="1"/>
        <v>2995</v>
      </c>
      <c r="H9" s="31">
        <f t="shared" si="1"/>
        <v>8241</v>
      </c>
      <c r="I9" s="31">
        <f t="shared" si="1"/>
        <v>77024.600000000006</v>
      </c>
      <c r="J9" s="31">
        <f t="shared" si="1"/>
        <v>360</v>
      </c>
      <c r="K9" s="31">
        <f t="shared" si="1"/>
        <v>-17.91</v>
      </c>
      <c r="L9" s="31">
        <f t="shared" si="1"/>
        <v>6440</v>
      </c>
      <c r="M9" s="31">
        <f t="shared" si="1"/>
        <v>63727</v>
      </c>
      <c r="N9" s="31">
        <f t="shared" si="1"/>
        <v>145</v>
      </c>
      <c r="O9" s="31">
        <f t="shared" si="1"/>
        <v>142.35</v>
      </c>
      <c r="P9" s="31">
        <f t="shared" si="1"/>
        <v>13</v>
      </c>
      <c r="Q9" s="31">
        <f t="shared" si="1"/>
        <v>3.7</v>
      </c>
      <c r="R9" s="31">
        <f t="shared" si="1"/>
        <v>2.3199999999999998</v>
      </c>
      <c r="S9" s="31">
        <f t="shared" si="1"/>
        <v>31</v>
      </c>
      <c r="T9" s="31">
        <f t="shared" si="1"/>
        <v>277083.93</v>
      </c>
      <c r="U9" s="31">
        <f t="shared" si="1"/>
        <v>1</v>
      </c>
      <c r="V9" s="31">
        <f t="shared" si="1"/>
        <v>0</v>
      </c>
      <c r="W9" s="31">
        <f t="shared" si="1"/>
        <v>5770</v>
      </c>
      <c r="X9" s="31">
        <f t="shared" si="1"/>
        <v>15713</v>
      </c>
      <c r="Y9" s="31">
        <f t="shared" si="1"/>
        <v>13084</v>
      </c>
      <c r="Z9" s="31">
        <f t="shared" si="1"/>
        <v>1270</v>
      </c>
      <c r="AA9" s="31">
        <f t="shared" si="1"/>
        <v>1637</v>
      </c>
      <c r="AB9" s="31">
        <f t="shared" si="1"/>
        <v>97325</v>
      </c>
      <c r="AC9" s="31">
        <v>2006928</v>
      </c>
      <c r="AD9" s="31">
        <f t="shared" si="1"/>
        <v>536950</v>
      </c>
      <c r="AE9" s="31">
        <f t="shared" si="1"/>
        <v>368070</v>
      </c>
      <c r="AF9" s="31">
        <f t="shared" si="1"/>
        <v>332</v>
      </c>
      <c r="AG9" s="65">
        <f t="shared" si="0"/>
        <v>3534121.99</v>
      </c>
    </row>
    <row r="10" spans="1:33" x14ac:dyDescent="0.25">
      <c r="A10" s="20" t="s">
        <v>198</v>
      </c>
      <c r="B10" s="76"/>
      <c r="C10" s="76"/>
      <c r="D10" s="76"/>
      <c r="E10" s="76"/>
      <c r="F10" s="76"/>
      <c r="G10" s="76">
        <v>10000</v>
      </c>
      <c r="H10" s="76"/>
      <c r="I10" s="76"/>
      <c r="J10" s="76"/>
      <c r="K10" s="76"/>
      <c r="L10" s="76">
        <v>52900</v>
      </c>
      <c r="M10" s="76">
        <v>25500</v>
      </c>
      <c r="N10" s="76"/>
      <c r="O10" s="76"/>
      <c r="P10" s="76"/>
      <c r="Q10" s="76">
        <v>26.16</v>
      </c>
      <c r="R10" s="76">
        <v>11100</v>
      </c>
      <c r="S10" s="76">
        <v>15000</v>
      </c>
      <c r="T10" s="76">
        <v>89500</v>
      </c>
      <c r="U10" s="76"/>
      <c r="V10" s="76"/>
      <c r="W10" s="76">
        <v>23000</v>
      </c>
      <c r="X10" s="76">
        <v>12600</v>
      </c>
      <c r="Y10" s="76"/>
      <c r="Z10" s="76"/>
      <c r="AA10" s="76">
        <v>72000</v>
      </c>
      <c r="AB10" s="76">
        <v>36300</v>
      </c>
      <c r="AC10" s="76"/>
      <c r="AD10" s="76">
        <v>75000</v>
      </c>
      <c r="AE10" s="76">
        <v>90000</v>
      </c>
      <c r="AF10" s="76"/>
      <c r="AG10" s="64">
        <f t="shared" si="0"/>
        <v>512926.16000000003</v>
      </c>
    </row>
    <row r="11" spans="1:33" x14ac:dyDescent="0.25">
      <c r="A11" s="20" t="s">
        <v>31</v>
      </c>
      <c r="B11" s="76">
        <f>B12-B10-B9-B6-B5</f>
        <v>0</v>
      </c>
      <c r="C11" s="76">
        <f t="shared" ref="C11:AF11" si="2">C12-C10-C9-C6-C5</f>
        <v>0</v>
      </c>
      <c r="D11" s="76">
        <f t="shared" si="2"/>
        <v>0</v>
      </c>
      <c r="E11" s="76">
        <f t="shared" si="2"/>
        <v>0</v>
      </c>
      <c r="F11" s="76">
        <f t="shared" si="2"/>
        <v>9851</v>
      </c>
      <c r="G11" s="76">
        <f t="shared" si="2"/>
        <v>0</v>
      </c>
      <c r="H11" s="76">
        <f t="shared" si="2"/>
        <v>0</v>
      </c>
      <c r="I11" s="76">
        <f t="shared" si="2"/>
        <v>0</v>
      </c>
      <c r="J11" s="76">
        <f t="shared" si="2"/>
        <v>0</v>
      </c>
      <c r="K11" s="76">
        <f t="shared" si="2"/>
        <v>2302.2600000000093</v>
      </c>
      <c r="L11" s="76">
        <f t="shared" si="2"/>
        <v>0</v>
      </c>
      <c r="M11" s="76">
        <f t="shared" si="2"/>
        <v>37</v>
      </c>
      <c r="N11" s="76">
        <f t="shared" si="2"/>
        <v>0</v>
      </c>
      <c r="O11" s="76">
        <f t="shared" si="2"/>
        <v>0</v>
      </c>
      <c r="P11" s="76">
        <f t="shared" si="2"/>
        <v>0</v>
      </c>
      <c r="Q11" s="76">
        <f t="shared" si="2"/>
        <v>417.27999999999884</v>
      </c>
      <c r="R11" s="76">
        <f t="shared" si="2"/>
        <v>0</v>
      </c>
      <c r="S11" s="76">
        <f t="shared" si="2"/>
        <v>0</v>
      </c>
      <c r="T11" s="76">
        <f t="shared" si="2"/>
        <v>0</v>
      </c>
      <c r="U11" s="76">
        <f t="shared" si="2"/>
        <v>0</v>
      </c>
      <c r="V11" s="76">
        <f t="shared" si="2"/>
        <v>0</v>
      </c>
      <c r="W11" s="76">
        <f t="shared" si="2"/>
        <v>0</v>
      </c>
      <c r="X11" s="76">
        <f t="shared" si="2"/>
        <v>-1</v>
      </c>
      <c r="Y11" s="76">
        <f t="shared" si="2"/>
        <v>-1</v>
      </c>
      <c r="Z11" s="76">
        <f t="shared" si="2"/>
        <v>0</v>
      </c>
      <c r="AA11" s="76">
        <f t="shared" si="2"/>
        <v>2118</v>
      </c>
      <c r="AB11" s="76">
        <f t="shared" si="2"/>
        <v>0</v>
      </c>
      <c r="AC11" s="76">
        <f t="shared" si="2"/>
        <v>0</v>
      </c>
      <c r="AD11" s="76">
        <f t="shared" si="2"/>
        <v>0</v>
      </c>
      <c r="AE11" s="76">
        <f t="shared" si="2"/>
        <v>0</v>
      </c>
      <c r="AF11" s="76">
        <f t="shared" si="2"/>
        <v>1</v>
      </c>
      <c r="AG11" s="64">
        <f t="shared" si="0"/>
        <v>14724.540000000008</v>
      </c>
    </row>
    <row r="12" spans="1:33" s="7" customFormat="1" x14ac:dyDescent="0.25">
      <c r="A12" s="3" t="s">
        <v>40</v>
      </c>
      <c r="B12" s="10">
        <v>106139</v>
      </c>
      <c r="C12" s="10">
        <v>177125</v>
      </c>
      <c r="D12" s="10">
        <v>520407</v>
      </c>
      <c r="E12" s="10">
        <v>858208</v>
      </c>
      <c r="F12" s="10">
        <v>127788</v>
      </c>
      <c r="G12" s="10">
        <v>207614</v>
      </c>
      <c r="H12" s="10">
        <v>229772</v>
      </c>
      <c r="I12" s="10">
        <v>791215.99</v>
      </c>
      <c r="J12" s="10">
        <v>48660</v>
      </c>
      <c r="K12" s="10">
        <v>123632.19</v>
      </c>
      <c r="L12" s="10">
        <v>416042</v>
      </c>
      <c r="M12" s="10">
        <v>968405</v>
      </c>
      <c r="N12" s="10">
        <v>327040</v>
      </c>
      <c r="O12" s="10">
        <v>45642.35</v>
      </c>
      <c r="P12" s="10">
        <v>183448</v>
      </c>
      <c r="Q12" s="10">
        <v>43880.11</v>
      </c>
      <c r="R12" s="10">
        <v>153478.82</v>
      </c>
      <c r="S12" s="10">
        <v>168177</v>
      </c>
      <c r="T12" s="10">
        <v>934883.59</v>
      </c>
      <c r="U12" s="10">
        <v>49580</v>
      </c>
      <c r="V12" s="10">
        <v>40712</v>
      </c>
      <c r="W12" s="10">
        <v>253832</v>
      </c>
      <c r="X12" s="10">
        <v>173200</v>
      </c>
      <c r="Y12" s="10">
        <v>297404</v>
      </c>
      <c r="Z12" s="10">
        <v>230913</v>
      </c>
      <c r="AA12" s="10">
        <v>704133</v>
      </c>
      <c r="AB12" s="10">
        <v>467776</v>
      </c>
      <c r="AC12" s="10">
        <v>3960171</v>
      </c>
      <c r="AD12" s="10">
        <v>716910</v>
      </c>
      <c r="AE12" s="10">
        <v>849541</v>
      </c>
      <c r="AF12" s="10">
        <v>110307</v>
      </c>
      <c r="AG12" s="63">
        <f t="shared" si="0"/>
        <v>14286037.050000001</v>
      </c>
    </row>
    <row r="13" spans="1:33" s="7" customFormat="1" x14ac:dyDescent="0.25">
      <c r="A13" s="3" t="s">
        <v>199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63"/>
    </row>
    <row r="14" spans="1:33" x14ac:dyDescent="0.25">
      <c r="A14" s="20" t="s">
        <v>200</v>
      </c>
      <c r="B14" s="76">
        <v>27855</v>
      </c>
      <c r="C14" s="76">
        <v>34332</v>
      </c>
      <c r="D14" s="76">
        <v>357938</v>
      </c>
      <c r="E14" s="76">
        <v>555836</v>
      </c>
      <c r="F14" s="76">
        <v>97804</v>
      </c>
      <c r="G14" s="76">
        <v>151217</v>
      </c>
      <c r="H14" s="76">
        <v>138916</v>
      </c>
      <c r="I14" s="76">
        <v>602802.85</v>
      </c>
      <c r="J14" s="76">
        <v>9267</v>
      </c>
      <c r="K14" s="76">
        <v>127448.97</v>
      </c>
      <c r="L14" s="76">
        <v>384586</v>
      </c>
      <c r="M14" s="76">
        <v>863376</v>
      </c>
      <c r="N14" s="76">
        <v>279065</v>
      </c>
      <c r="O14" s="76">
        <v>26201.279999999999</v>
      </c>
      <c r="P14" s="76">
        <v>88570</v>
      </c>
      <c r="Q14" s="76">
        <v>41406.29</v>
      </c>
      <c r="R14" s="76">
        <v>25686.91</v>
      </c>
      <c r="S14" s="76">
        <v>78935</v>
      </c>
      <c r="T14" s="76">
        <v>1084.28</v>
      </c>
      <c r="U14" s="76">
        <v>23486</v>
      </c>
      <c r="V14" s="76">
        <v>18182</v>
      </c>
      <c r="W14" s="76">
        <v>220783</v>
      </c>
      <c r="X14" s="76">
        <v>125825</v>
      </c>
      <c r="Y14" s="76">
        <v>249497</v>
      </c>
      <c r="Z14" s="76">
        <v>169636</v>
      </c>
      <c r="AA14" s="76">
        <v>430288</v>
      </c>
      <c r="AB14" s="76">
        <v>338326</v>
      </c>
      <c r="AC14" s="76">
        <v>2193127</v>
      </c>
      <c r="AD14" s="76">
        <v>188872</v>
      </c>
      <c r="AE14" s="76">
        <v>327704</v>
      </c>
      <c r="AF14" s="76">
        <v>85477</v>
      </c>
      <c r="AG14" s="64">
        <f t="shared" ref="AG14:AG19" si="3">SUM(B14:AF14)</f>
        <v>8263530.5800000001</v>
      </c>
    </row>
    <row r="15" spans="1:33" x14ac:dyDescent="0.25">
      <c r="A15" s="20" t="s">
        <v>201</v>
      </c>
      <c r="B15" s="76">
        <v>62289</v>
      </c>
      <c r="C15" s="76">
        <v>112369</v>
      </c>
      <c r="D15" s="76">
        <v>1321962</v>
      </c>
      <c r="E15" s="76">
        <v>1816227</v>
      </c>
      <c r="F15" s="76">
        <v>202820</v>
      </c>
      <c r="G15" s="76">
        <v>1052960</v>
      </c>
      <c r="H15" s="76">
        <v>634126</v>
      </c>
      <c r="I15" s="76">
        <v>736759.04</v>
      </c>
      <c r="J15" s="76">
        <v>36013</v>
      </c>
      <c r="K15" s="76">
        <v>428016.08</v>
      </c>
      <c r="L15" s="76">
        <v>1395139</v>
      </c>
      <c r="M15" s="76">
        <v>2881974</v>
      </c>
      <c r="N15" s="76">
        <v>1004627</v>
      </c>
      <c r="O15" s="76">
        <v>90832.81</v>
      </c>
      <c r="P15" s="76">
        <v>228182</v>
      </c>
      <c r="Q15" s="76">
        <v>311459.15999999997</v>
      </c>
      <c r="R15" s="76">
        <v>60212.15</v>
      </c>
      <c r="S15" s="76">
        <v>130965</v>
      </c>
      <c r="T15" s="76">
        <v>3060514.84</v>
      </c>
      <c r="U15" s="76">
        <v>32115</v>
      </c>
      <c r="V15" s="76">
        <v>58348</v>
      </c>
      <c r="W15" s="76">
        <v>1165332</v>
      </c>
      <c r="X15" s="76">
        <v>582891</v>
      </c>
      <c r="Y15" s="76">
        <v>760163</v>
      </c>
      <c r="Z15" s="76">
        <v>913227</v>
      </c>
      <c r="AA15" s="76">
        <v>613773</v>
      </c>
      <c r="AB15" s="76">
        <v>1580282</v>
      </c>
      <c r="AC15" s="76">
        <v>4967935</v>
      </c>
      <c r="AD15" s="76">
        <v>2501185</v>
      </c>
      <c r="AE15" s="76">
        <v>3305376</v>
      </c>
      <c r="AF15" s="76">
        <v>273636</v>
      </c>
      <c r="AG15" s="64">
        <f t="shared" si="3"/>
        <v>32321710.080000002</v>
      </c>
    </row>
    <row r="16" spans="1:33" s="32" customFormat="1" x14ac:dyDescent="0.25">
      <c r="A16" s="14" t="s">
        <v>202</v>
      </c>
      <c r="B16" s="31">
        <f t="shared" ref="B16:D16" si="4">B14+B15</f>
        <v>90144</v>
      </c>
      <c r="C16" s="31">
        <f t="shared" si="4"/>
        <v>146701</v>
      </c>
      <c r="D16" s="31">
        <f t="shared" si="4"/>
        <v>1679900</v>
      </c>
      <c r="E16" s="31">
        <f>E14+E15</f>
        <v>2372063</v>
      </c>
      <c r="F16" s="31">
        <f t="shared" ref="F16:AF16" si="5">F14+F15</f>
        <v>300624</v>
      </c>
      <c r="G16" s="31">
        <f t="shared" si="5"/>
        <v>1204177</v>
      </c>
      <c r="H16" s="31">
        <f t="shared" si="5"/>
        <v>773042</v>
      </c>
      <c r="I16" s="31">
        <f t="shared" si="5"/>
        <v>1339561.8900000001</v>
      </c>
      <c r="J16" s="31">
        <f t="shared" si="5"/>
        <v>45280</v>
      </c>
      <c r="K16" s="31">
        <f t="shared" si="5"/>
        <v>555465.05000000005</v>
      </c>
      <c r="L16" s="31">
        <f t="shared" si="5"/>
        <v>1779725</v>
      </c>
      <c r="M16" s="31">
        <f t="shared" si="5"/>
        <v>3745350</v>
      </c>
      <c r="N16" s="31">
        <f t="shared" si="5"/>
        <v>1283692</v>
      </c>
      <c r="O16" s="31">
        <f t="shared" si="5"/>
        <v>117034.09</v>
      </c>
      <c r="P16" s="31">
        <f t="shared" si="5"/>
        <v>316752</v>
      </c>
      <c r="Q16" s="31">
        <f t="shared" si="5"/>
        <v>352865.44999999995</v>
      </c>
      <c r="R16" s="31">
        <f t="shared" si="5"/>
        <v>85899.06</v>
      </c>
      <c r="S16" s="31">
        <f t="shared" si="5"/>
        <v>209900</v>
      </c>
      <c r="T16" s="31">
        <f t="shared" si="5"/>
        <v>3061599.1199999996</v>
      </c>
      <c r="U16" s="31">
        <f t="shared" si="5"/>
        <v>55601</v>
      </c>
      <c r="V16" s="31">
        <f t="shared" si="5"/>
        <v>76530</v>
      </c>
      <c r="W16" s="31">
        <f t="shared" si="5"/>
        <v>1386115</v>
      </c>
      <c r="X16" s="31">
        <f t="shared" si="5"/>
        <v>708716</v>
      </c>
      <c r="Y16" s="31">
        <f t="shared" si="5"/>
        <v>1009660</v>
      </c>
      <c r="Z16" s="31">
        <f t="shared" si="5"/>
        <v>1082863</v>
      </c>
      <c r="AA16" s="31">
        <f t="shared" si="5"/>
        <v>1044061</v>
      </c>
      <c r="AB16" s="31">
        <f t="shared" si="5"/>
        <v>1918608</v>
      </c>
      <c r="AC16" s="31">
        <f t="shared" si="5"/>
        <v>7161062</v>
      </c>
      <c r="AD16" s="31">
        <f t="shared" si="5"/>
        <v>2690057</v>
      </c>
      <c r="AE16" s="31">
        <f t="shared" si="5"/>
        <v>3633080</v>
      </c>
      <c r="AF16" s="31">
        <f t="shared" si="5"/>
        <v>359113</v>
      </c>
      <c r="AG16" s="65">
        <f t="shared" si="3"/>
        <v>40585240.659999996</v>
      </c>
    </row>
    <row r="17" spans="1:33" x14ac:dyDescent="0.25">
      <c r="A17" s="20" t="s">
        <v>203</v>
      </c>
      <c r="B17" s="76"/>
      <c r="C17" s="76"/>
      <c r="D17" s="76">
        <v>1435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>
        <v>81.88</v>
      </c>
      <c r="R17" s="76"/>
      <c r="S17" s="76"/>
      <c r="T17" s="76">
        <v>3446.09</v>
      </c>
      <c r="U17" s="76"/>
      <c r="V17" s="76"/>
      <c r="W17" s="76"/>
      <c r="X17" s="76"/>
      <c r="Y17" s="76"/>
      <c r="Z17" s="76"/>
      <c r="AA17" s="76"/>
      <c r="AB17" s="76"/>
      <c r="AC17" s="76">
        <v>32153</v>
      </c>
      <c r="AD17" s="76">
        <v>14402</v>
      </c>
      <c r="AE17" s="76">
        <v>11106</v>
      </c>
      <c r="AF17" s="76"/>
      <c r="AG17" s="64">
        <f t="shared" si="3"/>
        <v>62623.97</v>
      </c>
    </row>
    <row r="18" spans="1:33" x14ac:dyDescent="0.25">
      <c r="A18" s="20" t="s">
        <v>204</v>
      </c>
      <c r="B18" s="76">
        <v>607</v>
      </c>
      <c r="C18" s="76">
        <v>10237</v>
      </c>
      <c r="D18" s="76">
        <v>19229</v>
      </c>
      <c r="E18" s="76">
        <v>42001</v>
      </c>
      <c r="F18" s="76">
        <v>4910</v>
      </c>
      <c r="G18" s="76">
        <v>8129</v>
      </c>
      <c r="H18" s="76">
        <v>12179</v>
      </c>
      <c r="I18" s="76">
        <v>31821.8</v>
      </c>
      <c r="J18" s="76">
        <v>1472</v>
      </c>
      <c r="K18" s="76">
        <v>4708.1099999999997</v>
      </c>
      <c r="L18" s="76">
        <v>28271</v>
      </c>
      <c r="M18" s="76">
        <v>59095</v>
      </c>
      <c r="N18" s="76">
        <v>14378</v>
      </c>
      <c r="O18" s="76">
        <v>913.82</v>
      </c>
      <c r="P18" s="76">
        <v>4624</v>
      </c>
      <c r="Q18" s="76">
        <v>2493.09</v>
      </c>
      <c r="R18" s="76">
        <v>2323.59</v>
      </c>
      <c r="S18" s="76">
        <v>5015</v>
      </c>
      <c r="T18" s="76">
        <v>53835.360000000001</v>
      </c>
      <c r="U18" s="76">
        <v>44</v>
      </c>
      <c r="V18" s="76">
        <v>769</v>
      </c>
      <c r="W18" s="76">
        <v>8852</v>
      </c>
      <c r="X18" s="76">
        <v>1899</v>
      </c>
      <c r="Y18" s="76">
        <v>22157</v>
      </c>
      <c r="Z18" s="76">
        <v>4462</v>
      </c>
      <c r="AA18" s="76">
        <v>11483</v>
      </c>
      <c r="AB18" s="76">
        <v>26807</v>
      </c>
      <c r="AC18" s="76">
        <v>43857</v>
      </c>
      <c r="AD18" s="76">
        <v>51522</v>
      </c>
      <c r="AE18" s="76">
        <v>28284</v>
      </c>
      <c r="AF18" s="76">
        <v>2455</v>
      </c>
      <c r="AG18" s="64">
        <f t="shared" si="3"/>
        <v>508833.77</v>
      </c>
    </row>
    <row r="19" spans="1:33" x14ac:dyDescent="0.25">
      <c r="A19" s="20" t="s">
        <v>205</v>
      </c>
      <c r="B19" s="76"/>
      <c r="C19" s="76"/>
      <c r="D19" s="76">
        <v>786</v>
      </c>
      <c r="E19" s="76">
        <v>8908</v>
      </c>
      <c r="F19" s="76">
        <v>6480</v>
      </c>
      <c r="G19" s="76">
        <v>20455</v>
      </c>
      <c r="H19" s="76"/>
      <c r="I19" s="76">
        <v>4424.71</v>
      </c>
      <c r="J19" s="76"/>
      <c r="K19" s="76">
        <v>4708.8900000000003</v>
      </c>
      <c r="L19" s="76">
        <v>6534</v>
      </c>
      <c r="M19" s="76">
        <v>40269</v>
      </c>
      <c r="N19" s="76">
        <v>2799</v>
      </c>
      <c r="O19" s="76"/>
      <c r="P19" s="76"/>
      <c r="Q19" s="76">
        <v>1972.89</v>
      </c>
      <c r="R19" s="76"/>
      <c r="S19" s="76"/>
      <c r="T19" s="76"/>
      <c r="U19" s="76"/>
      <c r="V19" s="76">
        <v>629</v>
      </c>
      <c r="W19" s="76">
        <v>3727</v>
      </c>
      <c r="X19" s="76">
        <v>2038</v>
      </c>
      <c r="Y19" s="76">
        <v>1684</v>
      </c>
      <c r="Z19" s="76">
        <v>1239</v>
      </c>
      <c r="AA19" s="76">
        <v>73908</v>
      </c>
      <c r="AB19" s="76">
        <v>7186</v>
      </c>
      <c r="AC19" s="76">
        <v>26319</v>
      </c>
      <c r="AD19" s="76"/>
      <c r="AE19" s="76"/>
      <c r="AF19" s="76">
        <v>485</v>
      </c>
      <c r="AG19" s="64">
        <f t="shared" si="3"/>
        <v>214552.49</v>
      </c>
    </row>
    <row r="20" spans="1:33" x14ac:dyDescent="0.25">
      <c r="A20" s="14" t="s">
        <v>206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64"/>
    </row>
    <row r="21" spans="1:33" x14ac:dyDescent="0.25">
      <c r="A21" s="20" t="s">
        <v>207</v>
      </c>
      <c r="B21" s="76">
        <v>797</v>
      </c>
      <c r="C21" s="76">
        <v>2228</v>
      </c>
      <c r="D21" s="76">
        <v>397825</v>
      </c>
      <c r="E21" s="76">
        <v>33560</v>
      </c>
      <c r="F21" s="76">
        <v>17224</v>
      </c>
      <c r="G21" s="76">
        <v>2507</v>
      </c>
      <c r="H21" s="76">
        <v>16962</v>
      </c>
      <c r="I21" s="76">
        <v>167783.71</v>
      </c>
      <c r="J21" s="76">
        <v>208</v>
      </c>
      <c r="K21" s="76">
        <v>3343.87</v>
      </c>
      <c r="L21" s="76">
        <v>15053</v>
      </c>
      <c r="M21" s="76">
        <v>11631</v>
      </c>
      <c r="N21" s="76">
        <v>16129</v>
      </c>
      <c r="O21" s="76">
        <v>1039</v>
      </c>
      <c r="P21" s="76">
        <v>155</v>
      </c>
      <c r="Q21" s="76">
        <v>4122.51</v>
      </c>
      <c r="R21" s="76">
        <v>6894.06</v>
      </c>
      <c r="S21" s="76">
        <v>3938</v>
      </c>
      <c r="T21" s="76">
        <v>61661.52</v>
      </c>
      <c r="U21" s="76">
        <v>804</v>
      </c>
      <c r="V21" s="76">
        <v>150</v>
      </c>
      <c r="W21" s="76">
        <v>20258</v>
      </c>
      <c r="X21" s="76">
        <v>5568</v>
      </c>
      <c r="Y21" s="76">
        <v>8447</v>
      </c>
      <c r="Z21" s="76">
        <v>3778</v>
      </c>
      <c r="AA21" s="76">
        <v>63179</v>
      </c>
      <c r="AB21" s="76">
        <v>41317</v>
      </c>
      <c r="AC21" s="76">
        <v>973656</v>
      </c>
      <c r="AD21" s="76">
        <v>179615</v>
      </c>
      <c r="AE21" s="76">
        <v>180144</v>
      </c>
      <c r="AF21" s="76">
        <v>6592</v>
      </c>
      <c r="AG21" s="64">
        <f t="shared" ref="AG21:AG30" si="6">SUM(B21:AF21)</f>
        <v>2246569.67</v>
      </c>
    </row>
    <row r="22" spans="1:33" x14ac:dyDescent="0.25">
      <c r="A22" s="20" t="s">
        <v>208</v>
      </c>
      <c r="B22" s="76">
        <v>4173</v>
      </c>
      <c r="C22" s="76">
        <v>10492</v>
      </c>
      <c r="D22" s="76">
        <v>1139322</v>
      </c>
      <c r="E22" s="76">
        <v>325880</v>
      </c>
      <c r="F22" s="76">
        <v>19859</v>
      </c>
      <c r="G22" s="76">
        <v>96204</v>
      </c>
      <c r="H22" s="76">
        <v>51175</v>
      </c>
      <c r="I22" s="76">
        <v>102456.91</v>
      </c>
      <c r="J22" s="76">
        <v>11261</v>
      </c>
      <c r="K22" s="76">
        <v>85851.28</v>
      </c>
      <c r="L22" s="76">
        <v>226887</v>
      </c>
      <c r="M22" s="76">
        <v>1147943</v>
      </c>
      <c r="N22" s="76">
        <v>227303</v>
      </c>
      <c r="O22" s="76">
        <v>9342.76</v>
      </c>
      <c r="P22" s="76">
        <v>28401</v>
      </c>
      <c r="Q22" s="76">
        <v>19282.900000000001</v>
      </c>
      <c r="R22" s="76">
        <v>3958.06</v>
      </c>
      <c r="S22" s="76">
        <v>21084</v>
      </c>
      <c r="T22" s="76">
        <v>610982.67000000004</v>
      </c>
      <c r="U22" s="76">
        <v>11339</v>
      </c>
      <c r="V22" s="76">
        <v>4924</v>
      </c>
      <c r="W22" s="76">
        <v>260679</v>
      </c>
      <c r="X22" s="76">
        <v>91867</v>
      </c>
      <c r="Y22" s="76">
        <v>136765</v>
      </c>
      <c r="Z22" s="76">
        <v>43713</v>
      </c>
      <c r="AA22" s="76">
        <v>68347</v>
      </c>
      <c r="AB22" s="76">
        <v>120215</v>
      </c>
      <c r="AC22" s="76">
        <v>984892</v>
      </c>
      <c r="AD22" s="76">
        <v>547613</v>
      </c>
      <c r="AE22" s="76">
        <v>544395</v>
      </c>
      <c r="AF22" s="76">
        <v>126131</v>
      </c>
      <c r="AG22" s="64">
        <f t="shared" si="6"/>
        <v>7082738.5800000001</v>
      </c>
    </row>
    <row r="23" spans="1:33" s="32" customFormat="1" x14ac:dyDescent="0.25">
      <c r="A23" s="14" t="s">
        <v>209</v>
      </c>
      <c r="B23" s="31">
        <f>B21+B22</f>
        <v>4970</v>
      </c>
      <c r="C23" s="31">
        <f t="shared" ref="C23:AF23" si="7">C21+C22</f>
        <v>12720</v>
      </c>
      <c r="D23" s="31">
        <f t="shared" si="7"/>
        <v>1537147</v>
      </c>
      <c r="E23" s="31">
        <f t="shared" si="7"/>
        <v>359440</v>
      </c>
      <c r="F23" s="31">
        <f t="shared" si="7"/>
        <v>37083</v>
      </c>
      <c r="G23" s="31">
        <f t="shared" si="7"/>
        <v>98711</v>
      </c>
      <c r="H23" s="31">
        <f t="shared" si="7"/>
        <v>68137</v>
      </c>
      <c r="I23" s="31">
        <f t="shared" si="7"/>
        <v>270240.62</v>
      </c>
      <c r="J23" s="31">
        <f t="shared" si="7"/>
        <v>11469</v>
      </c>
      <c r="K23" s="31">
        <f t="shared" si="7"/>
        <v>89195.15</v>
      </c>
      <c r="L23" s="31">
        <f t="shared" si="7"/>
        <v>241940</v>
      </c>
      <c r="M23" s="31">
        <f t="shared" si="7"/>
        <v>1159574</v>
      </c>
      <c r="N23" s="31">
        <f t="shared" si="7"/>
        <v>243432</v>
      </c>
      <c r="O23" s="31">
        <f t="shared" si="7"/>
        <v>10381.76</v>
      </c>
      <c r="P23" s="31">
        <f t="shared" si="7"/>
        <v>28556</v>
      </c>
      <c r="Q23" s="31">
        <f t="shared" si="7"/>
        <v>23405.410000000003</v>
      </c>
      <c r="R23" s="31">
        <f t="shared" si="7"/>
        <v>10852.12</v>
      </c>
      <c r="S23" s="31">
        <f t="shared" si="7"/>
        <v>25022</v>
      </c>
      <c r="T23" s="31">
        <f t="shared" si="7"/>
        <v>672644.19000000006</v>
      </c>
      <c r="U23" s="31">
        <f t="shared" si="7"/>
        <v>12143</v>
      </c>
      <c r="V23" s="31">
        <f t="shared" si="7"/>
        <v>5074</v>
      </c>
      <c r="W23" s="31">
        <f t="shared" si="7"/>
        <v>280937</v>
      </c>
      <c r="X23" s="31">
        <f t="shared" si="7"/>
        <v>97435</v>
      </c>
      <c r="Y23" s="31">
        <f t="shared" si="7"/>
        <v>145212</v>
      </c>
      <c r="Z23" s="31">
        <f t="shared" si="7"/>
        <v>47491</v>
      </c>
      <c r="AA23" s="31">
        <f t="shared" si="7"/>
        <v>131526</v>
      </c>
      <c r="AB23" s="31">
        <f t="shared" si="7"/>
        <v>161532</v>
      </c>
      <c r="AC23" s="31">
        <f t="shared" si="7"/>
        <v>1958548</v>
      </c>
      <c r="AD23" s="31">
        <f t="shared" si="7"/>
        <v>727228</v>
      </c>
      <c r="AE23" s="31">
        <f t="shared" si="7"/>
        <v>724539</v>
      </c>
      <c r="AF23" s="31">
        <f t="shared" si="7"/>
        <v>132723</v>
      </c>
      <c r="AG23" s="65">
        <f t="shared" si="6"/>
        <v>9329308.25</v>
      </c>
    </row>
    <row r="24" spans="1:33" x14ac:dyDescent="0.25">
      <c r="A24" s="20" t="s">
        <v>210</v>
      </c>
      <c r="B24" s="76">
        <v>43445</v>
      </c>
      <c r="C24" s="76">
        <v>54537</v>
      </c>
      <c r="D24" s="76">
        <v>2672109</v>
      </c>
      <c r="E24" s="76">
        <v>1513067</v>
      </c>
      <c r="F24" s="76">
        <v>99159</v>
      </c>
      <c r="G24" s="76">
        <v>888139</v>
      </c>
      <c r="H24" s="76">
        <v>505594</v>
      </c>
      <c r="I24" s="76">
        <v>781114.12</v>
      </c>
      <c r="J24" s="76">
        <v>30999</v>
      </c>
      <c r="K24" s="76">
        <v>396453.04</v>
      </c>
      <c r="L24" s="76">
        <v>1229247</v>
      </c>
      <c r="M24" s="76">
        <v>3295241</v>
      </c>
      <c r="N24" s="76">
        <v>934063</v>
      </c>
      <c r="O24" s="76">
        <v>61254.64</v>
      </c>
      <c r="P24" s="76">
        <v>193796</v>
      </c>
      <c r="Q24" s="76">
        <v>278623.78999999998</v>
      </c>
      <c r="R24" s="76">
        <v>24925.3</v>
      </c>
      <c r="S24" s="76">
        <v>71879</v>
      </c>
      <c r="T24" s="76">
        <v>2730266.16</v>
      </c>
      <c r="U24" s="76">
        <v>27692</v>
      </c>
      <c r="V24" s="76">
        <v>45310</v>
      </c>
      <c r="W24" s="76">
        <v>1209194</v>
      </c>
      <c r="X24" s="76">
        <v>521361</v>
      </c>
      <c r="Y24" s="76">
        <v>609075</v>
      </c>
      <c r="Z24" s="76">
        <v>813267</v>
      </c>
      <c r="AA24" s="76">
        <v>190557</v>
      </c>
      <c r="AB24" s="76">
        <v>1251555</v>
      </c>
      <c r="AC24" s="76">
        <v>3901007</v>
      </c>
      <c r="AD24" s="76">
        <v>2078474</v>
      </c>
      <c r="AE24" s="76">
        <v>2827364</v>
      </c>
      <c r="AF24" s="76">
        <v>301112</v>
      </c>
      <c r="AG24" s="64">
        <f t="shared" si="6"/>
        <v>29579880.050000001</v>
      </c>
    </row>
    <row r="25" spans="1:33" x14ac:dyDescent="0.25">
      <c r="A25" s="20" t="s">
        <v>58</v>
      </c>
      <c r="B25" s="76">
        <v>24735</v>
      </c>
      <c r="C25" s="76">
        <v>64636</v>
      </c>
      <c r="D25" s="76">
        <v>45981</v>
      </c>
      <c r="E25" s="76">
        <v>411137</v>
      </c>
      <c r="F25" s="76">
        <v>137498</v>
      </c>
      <c r="G25" s="76">
        <v>235719</v>
      </c>
      <c r="H25" s="76">
        <v>202144</v>
      </c>
      <c r="I25" s="76">
        <v>73718.91</v>
      </c>
      <c r="J25" s="76">
        <v>14757</v>
      </c>
      <c r="K25" s="76">
        <v>133991.97</v>
      </c>
      <c r="L25" s="76">
        <v>411180</v>
      </c>
      <c r="M25" s="76">
        <v>740642</v>
      </c>
      <c r="N25" s="76">
        <v>283198</v>
      </c>
      <c r="O25" s="76">
        <v>39038.99</v>
      </c>
      <c r="P25" s="76">
        <v>72001</v>
      </c>
      <c r="Q25" s="76">
        <v>59625.85</v>
      </c>
      <c r="R25" s="76">
        <v>44406.15</v>
      </c>
      <c r="S25" s="76">
        <v>97731</v>
      </c>
      <c r="T25" s="76">
        <v>692956.01</v>
      </c>
      <c r="U25" s="76">
        <v>19553</v>
      </c>
      <c r="V25" s="76">
        <v>19044</v>
      </c>
      <c r="W25" s="76">
        <v>216606</v>
      </c>
      <c r="X25" s="76">
        <v>115527</v>
      </c>
      <c r="Y25" s="76">
        <v>272233</v>
      </c>
      <c r="Z25" s="76">
        <v>91875</v>
      </c>
      <c r="AA25" s="76">
        <v>534606</v>
      </c>
      <c r="AB25" s="76">
        <v>394801</v>
      </c>
      <c r="AC25" s="76">
        <v>1453043</v>
      </c>
      <c r="AD25" s="76">
        <v>754684</v>
      </c>
      <c r="AE25" s="76">
        <v>817936</v>
      </c>
      <c r="AF25" s="76">
        <v>83355</v>
      </c>
      <c r="AG25" s="64">
        <f t="shared" si="6"/>
        <v>8558359.879999999</v>
      </c>
    </row>
    <row r="26" spans="1:33" s="32" customFormat="1" x14ac:dyDescent="0.25">
      <c r="A26" s="14" t="s">
        <v>211</v>
      </c>
      <c r="B26" s="31">
        <f>B24+B25</f>
        <v>68180</v>
      </c>
      <c r="C26" s="31">
        <f t="shared" ref="C26:AF26" si="8">C24+C25</f>
        <v>119173</v>
      </c>
      <c r="D26" s="31">
        <f t="shared" si="8"/>
        <v>2718090</v>
      </c>
      <c r="E26" s="31">
        <f t="shared" si="8"/>
        <v>1924204</v>
      </c>
      <c r="F26" s="31">
        <f t="shared" si="8"/>
        <v>236657</v>
      </c>
      <c r="G26" s="31">
        <f t="shared" si="8"/>
        <v>1123858</v>
      </c>
      <c r="H26" s="31">
        <f t="shared" si="8"/>
        <v>707738</v>
      </c>
      <c r="I26" s="31">
        <f t="shared" si="8"/>
        <v>854833.03</v>
      </c>
      <c r="J26" s="31">
        <f t="shared" si="8"/>
        <v>45756</v>
      </c>
      <c r="K26" s="31">
        <f t="shared" si="8"/>
        <v>530445.01</v>
      </c>
      <c r="L26" s="31">
        <f t="shared" si="8"/>
        <v>1640427</v>
      </c>
      <c r="M26" s="31">
        <f t="shared" si="8"/>
        <v>4035883</v>
      </c>
      <c r="N26" s="31">
        <f t="shared" si="8"/>
        <v>1217261</v>
      </c>
      <c r="O26" s="31">
        <f t="shared" si="8"/>
        <v>100293.63</v>
      </c>
      <c r="P26" s="31">
        <f t="shared" si="8"/>
        <v>265797</v>
      </c>
      <c r="Q26" s="31">
        <f t="shared" si="8"/>
        <v>338249.63999999996</v>
      </c>
      <c r="R26" s="31">
        <f t="shared" si="8"/>
        <v>69331.45</v>
      </c>
      <c r="S26" s="31">
        <f t="shared" si="8"/>
        <v>169610</v>
      </c>
      <c r="T26" s="31">
        <f t="shared" si="8"/>
        <v>3423222.17</v>
      </c>
      <c r="U26" s="31">
        <f t="shared" si="8"/>
        <v>47245</v>
      </c>
      <c r="V26" s="31">
        <f t="shared" si="8"/>
        <v>64354</v>
      </c>
      <c r="W26" s="31">
        <f t="shared" si="8"/>
        <v>1425800</v>
      </c>
      <c r="X26" s="31">
        <f t="shared" si="8"/>
        <v>636888</v>
      </c>
      <c r="Y26" s="31">
        <f t="shared" si="8"/>
        <v>881308</v>
      </c>
      <c r="Z26" s="31">
        <f t="shared" si="8"/>
        <v>905142</v>
      </c>
      <c r="AA26" s="31">
        <f t="shared" si="8"/>
        <v>725163</v>
      </c>
      <c r="AB26" s="31">
        <f t="shared" si="8"/>
        <v>1646356</v>
      </c>
      <c r="AC26" s="31">
        <f t="shared" si="8"/>
        <v>5354050</v>
      </c>
      <c r="AD26" s="31">
        <f t="shared" si="8"/>
        <v>2833158</v>
      </c>
      <c r="AE26" s="31">
        <f t="shared" si="8"/>
        <v>3645300</v>
      </c>
      <c r="AF26" s="31">
        <f t="shared" si="8"/>
        <v>384467</v>
      </c>
      <c r="AG26" s="65">
        <f t="shared" si="6"/>
        <v>38138239.93</v>
      </c>
    </row>
    <row r="27" spans="1:33" s="7" customFormat="1" x14ac:dyDescent="0.25">
      <c r="A27" s="3" t="s">
        <v>212</v>
      </c>
      <c r="B27" s="10">
        <f>B23-B26</f>
        <v>-63210</v>
      </c>
      <c r="C27" s="10">
        <f t="shared" ref="C27:AF27" si="9">C23-C26</f>
        <v>-106453</v>
      </c>
      <c r="D27" s="10">
        <f t="shared" si="9"/>
        <v>-1180943</v>
      </c>
      <c r="E27" s="10">
        <f t="shared" si="9"/>
        <v>-1564764</v>
      </c>
      <c r="F27" s="10">
        <f t="shared" si="9"/>
        <v>-199574</v>
      </c>
      <c r="G27" s="10">
        <f t="shared" si="9"/>
        <v>-1025147</v>
      </c>
      <c r="H27" s="10">
        <f t="shared" si="9"/>
        <v>-639601</v>
      </c>
      <c r="I27" s="10">
        <f t="shared" si="9"/>
        <v>-584592.41</v>
      </c>
      <c r="J27" s="10">
        <f t="shared" si="9"/>
        <v>-34287</v>
      </c>
      <c r="K27" s="10">
        <f t="shared" si="9"/>
        <v>-441249.86</v>
      </c>
      <c r="L27" s="10">
        <f t="shared" si="9"/>
        <v>-1398487</v>
      </c>
      <c r="M27" s="10">
        <f t="shared" si="9"/>
        <v>-2876309</v>
      </c>
      <c r="N27" s="10">
        <f t="shared" si="9"/>
        <v>-973829</v>
      </c>
      <c r="O27" s="10">
        <f t="shared" si="9"/>
        <v>-89911.87000000001</v>
      </c>
      <c r="P27" s="10">
        <f t="shared" si="9"/>
        <v>-237241</v>
      </c>
      <c r="Q27" s="10">
        <f t="shared" si="9"/>
        <v>-314844.23</v>
      </c>
      <c r="R27" s="10">
        <f t="shared" si="9"/>
        <v>-58479.329999999994</v>
      </c>
      <c r="S27" s="10">
        <f t="shared" si="9"/>
        <v>-144588</v>
      </c>
      <c r="T27" s="10">
        <f t="shared" si="9"/>
        <v>-2750577.98</v>
      </c>
      <c r="U27" s="10">
        <f t="shared" si="9"/>
        <v>-35102</v>
      </c>
      <c r="V27" s="10">
        <f t="shared" si="9"/>
        <v>-59280</v>
      </c>
      <c r="W27" s="10">
        <f t="shared" si="9"/>
        <v>-1144863</v>
      </c>
      <c r="X27" s="10">
        <f t="shared" si="9"/>
        <v>-539453</v>
      </c>
      <c r="Y27" s="10">
        <f t="shared" si="9"/>
        <v>-736096</v>
      </c>
      <c r="Z27" s="10">
        <f t="shared" si="9"/>
        <v>-857651</v>
      </c>
      <c r="AA27" s="10">
        <f t="shared" si="9"/>
        <v>-593637</v>
      </c>
      <c r="AB27" s="10">
        <f t="shared" si="9"/>
        <v>-1484824</v>
      </c>
      <c r="AC27" s="10">
        <f t="shared" si="9"/>
        <v>-3395502</v>
      </c>
      <c r="AD27" s="10">
        <f t="shared" si="9"/>
        <v>-2105930</v>
      </c>
      <c r="AE27" s="10">
        <f t="shared" si="9"/>
        <v>-2920761</v>
      </c>
      <c r="AF27" s="10">
        <f t="shared" si="9"/>
        <v>-251744</v>
      </c>
      <c r="AG27" s="63">
        <f t="shared" si="6"/>
        <v>-28808931.68</v>
      </c>
    </row>
    <row r="28" spans="1:33" ht="30" x14ac:dyDescent="0.25">
      <c r="A28" s="20" t="s">
        <v>213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>
        <v>35496.36</v>
      </c>
      <c r="U28" s="76"/>
      <c r="V28" s="76"/>
      <c r="W28" s="76"/>
      <c r="X28" s="76"/>
      <c r="Y28" s="76"/>
      <c r="Z28" s="76"/>
      <c r="AA28" s="76"/>
      <c r="AB28" s="76"/>
      <c r="AC28" s="76">
        <v>92282</v>
      </c>
      <c r="AD28" s="76">
        <v>66858</v>
      </c>
      <c r="AE28" s="76"/>
      <c r="AF28" s="76"/>
      <c r="AG28" s="64">
        <f t="shared" si="6"/>
        <v>194636.36</v>
      </c>
    </row>
    <row r="29" spans="1:33" ht="30" x14ac:dyDescent="0.25">
      <c r="A29" s="20" t="s">
        <v>214</v>
      </c>
      <c r="B29" s="76">
        <v>78598</v>
      </c>
      <c r="C29" s="76">
        <v>126639</v>
      </c>
      <c r="D29" s="76"/>
      <c r="E29" s="76"/>
      <c r="F29" s="76">
        <v>15348</v>
      </c>
      <c r="G29" s="76"/>
      <c r="H29" s="76">
        <v>84152</v>
      </c>
      <c r="I29" s="76"/>
      <c r="J29" s="76">
        <v>36195</v>
      </c>
      <c r="K29" s="76"/>
      <c r="L29" s="76"/>
      <c r="M29" s="76"/>
      <c r="N29" s="76"/>
      <c r="O29" s="76">
        <v>17606.310000000001</v>
      </c>
      <c r="P29" s="76">
        <v>99312</v>
      </c>
      <c r="Q29" s="76">
        <v>1311.03</v>
      </c>
      <c r="R29" s="76">
        <v>123735.51</v>
      </c>
      <c r="S29" s="76">
        <v>97851</v>
      </c>
      <c r="T29" s="76">
        <v>531084.64</v>
      </c>
      <c r="U29" s="76">
        <v>29038</v>
      </c>
      <c r="V29" s="76">
        <v>22065</v>
      </c>
      <c r="W29" s="76"/>
      <c r="X29" s="76"/>
      <c r="Y29" s="76"/>
      <c r="Z29" s="76"/>
      <c r="AA29" s="76">
        <v>168317</v>
      </c>
      <c r="AB29" s="76"/>
      <c r="AC29" s="76"/>
      <c r="AD29" s="76"/>
      <c r="AE29" s="76">
        <v>97831</v>
      </c>
      <c r="AF29" s="76"/>
      <c r="AG29" s="64">
        <f t="shared" si="6"/>
        <v>1529083.49</v>
      </c>
    </row>
    <row r="30" spans="1:33" s="7" customFormat="1" x14ac:dyDescent="0.25">
      <c r="A30" s="3" t="s">
        <v>40</v>
      </c>
      <c r="B30" s="10">
        <v>106139</v>
      </c>
      <c r="C30" s="10">
        <v>177125</v>
      </c>
      <c r="D30" s="10">
        <v>520407</v>
      </c>
      <c r="E30" s="10">
        <v>858208</v>
      </c>
      <c r="F30" s="10">
        <v>127788</v>
      </c>
      <c r="G30" s="10">
        <v>207614</v>
      </c>
      <c r="H30" s="10">
        <v>229772</v>
      </c>
      <c r="I30" s="10">
        <v>791215.99</v>
      </c>
      <c r="J30" s="10">
        <v>48660</v>
      </c>
      <c r="K30" s="10">
        <v>123632.19</v>
      </c>
      <c r="L30" s="10">
        <v>416042</v>
      </c>
      <c r="M30" s="10">
        <v>981181</v>
      </c>
      <c r="N30" s="10">
        <v>327040</v>
      </c>
      <c r="O30" s="10">
        <v>45642.35</v>
      </c>
      <c r="P30" s="10">
        <v>183448</v>
      </c>
      <c r="Q30" s="10">
        <v>43880.11</v>
      </c>
      <c r="R30" s="10">
        <v>153478.82</v>
      </c>
      <c r="S30" s="10">
        <v>168177</v>
      </c>
      <c r="T30" s="10">
        <v>934883.59</v>
      </c>
      <c r="U30" s="10">
        <v>49580</v>
      </c>
      <c r="V30" s="10">
        <v>40712</v>
      </c>
      <c r="W30" s="10">
        <v>253832</v>
      </c>
      <c r="X30" s="10">
        <v>173200</v>
      </c>
      <c r="Y30" s="10">
        <v>297404</v>
      </c>
      <c r="Z30" s="10">
        <v>230913</v>
      </c>
      <c r="AA30" s="10">
        <v>704133</v>
      </c>
      <c r="AB30" s="10">
        <v>467776</v>
      </c>
      <c r="AC30" s="10">
        <v>3960171</v>
      </c>
      <c r="AD30" s="10">
        <v>716910</v>
      </c>
      <c r="AE30" s="10">
        <v>849541</v>
      </c>
      <c r="AF30" s="10">
        <v>110307</v>
      </c>
      <c r="AG30" s="63">
        <f t="shared" si="6"/>
        <v>14298813.050000001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RowHeight="15" x14ac:dyDescent="0.25"/>
  <cols>
    <col min="1" max="1" width="37" style="71" bestFit="1" customWidth="1"/>
    <col min="2" max="65" width="16" style="71" customWidth="1"/>
    <col min="66" max="16384" width="9.140625" style="71"/>
  </cols>
  <sheetData>
    <row r="1" spans="1:65" ht="18.75" x14ac:dyDescent="0.3">
      <c r="A1" s="4" t="s">
        <v>193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1" t="s">
        <v>0</v>
      </c>
      <c r="B4" s="153" t="s">
        <v>1</v>
      </c>
      <c r="C4" s="154"/>
      <c r="D4" s="153" t="s">
        <v>234</v>
      </c>
      <c r="E4" s="154"/>
      <c r="F4" s="153" t="s">
        <v>2</v>
      </c>
      <c r="G4" s="154"/>
      <c r="H4" s="153" t="s">
        <v>3</v>
      </c>
      <c r="I4" s="154"/>
      <c r="J4" s="153" t="s">
        <v>243</v>
      </c>
      <c r="K4" s="154"/>
      <c r="L4" s="153" t="s">
        <v>235</v>
      </c>
      <c r="M4" s="154"/>
      <c r="N4" s="153" t="s">
        <v>5</v>
      </c>
      <c r="O4" s="154"/>
      <c r="P4" s="153" t="s">
        <v>4</v>
      </c>
      <c r="Q4" s="154"/>
      <c r="R4" s="153" t="s">
        <v>6</v>
      </c>
      <c r="S4" s="154"/>
      <c r="T4" s="153" t="s">
        <v>246</v>
      </c>
      <c r="U4" s="154"/>
      <c r="V4" s="153" t="s">
        <v>7</v>
      </c>
      <c r="W4" s="154"/>
      <c r="X4" s="153" t="s">
        <v>8</v>
      </c>
      <c r="Y4" s="154"/>
      <c r="Z4" s="153" t="s">
        <v>9</v>
      </c>
      <c r="AA4" s="154"/>
      <c r="AB4" s="153" t="s">
        <v>242</v>
      </c>
      <c r="AC4" s="154"/>
      <c r="AD4" s="153" t="s">
        <v>10</v>
      </c>
      <c r="AE4" s="154"/>
      <c r="AF4" s="153" t="s">
        <v>11</v>
      </c>
      <c r="AG4" s="154"/>
      <c r="AH4" s="153" t="s">
        <v>236</v>
      </c>
      <c r="AI4" s="154"/>
      <c r="AJ4" s="153" t="s">
        <v>245</v>
      </c>
      <c r="AK4" s="154"/>
      <c r="AL4" s="153" t="s">
        <v>12</v>
      </c>
      <c r="AM4" s="154"/>
      <c r="AN4" s="153" t="s">
        <v>237</v>
      </c>
      <c r="AO4" s="154"/>
      <c r="AP4" s="153" t="s">
        <v>238</v>
      </c>
      <c r="AQ4" s="154"/>
      <c r="AR4" s="153" t="s">
        <v>241</v>
      </c>
      <c r="AS4" s="154"/>
      <c r="AT4" s="153" t="s">
        <v>13</v>
      </c>
      <c r="AU4" s="154"/>
      <c r="AV4" s="153" t="s">
        <v>14</v>
      </c>
      <c r="AW4" s="154"/>
      <c r="AX4" s="153" t="s">
        <v>15</v>
      </c>
      <c r="AY4" s="154"/>
      <c r="AZ4" s="153" t="s">
        <v>16</v>
      </c>
      <c r="BA4" s="154"/>
      <c r="BB4" s="153" t="s">
        <v>17</v>
      </c>
      <c r="BC4" s="154"/>
      <c r="BD4" s="153" t="s">
        <v>239</v>
      </c>
      <c r="BE4" s="154"/>
      <c r="BF4" s="153" t="s">
        <v>240</v>
      </c>
      <c r="BG4" s="154"/>
      <c r="BH4" s="153" t="s">
        <v>18</v>
      </c>
      <c r="BI4" s="154"/>
      <c r="BJ4" s="153" t="s">
        <v>19</v>
      </c>
      <c r="BK4" s="154"/>
      <c r="BL4" s="155" t="s">
        <v>20</v>
      </c>
      <c r="BM4" s="156"/>
    </row>
    <row r="5" spans="1:65" ht="30" x14ac:dyDescent="0.25">
      <c r="A5" s="1"/>
      <c r="B5" s="53" t="s">
        <v>303</v>
      </c>
      <c r="C5" s="54" t="s">
        <v>302</v>
      </c>
      <c r="D5" s="53" t="s">
        <v>303</v>
      </c>
      <c r="E5" s="54" t="s">
        <v>302</v>
      </c>
      <c r="F5" s="53" t="s">
        <v>303</v>
      </c>
      <c r="G5" s="54" t="s">
        <v>302</v>
      </c>
      <c r="H5" s="53" t="s">
        <v>303</v>
      </c>
      <c r="I5" s="54" t="s">
        <v>302</v>
      </c>
      <c r="J5" s="53" t="s">
        <v>303</v>
      </c>
      <c r="K5" s="54" t="s">
        <v>302</v>
      </c>
      <c r="L5" s="53" t="s">
        <v>303</v>
      </c>
      <c r="M5" s="54" t="s">
        <v>302</v>
      </c>
      <c r="N5" s="53" t="s">
        <v>303</v>
      </c>
      <c r="O5" s="54" t="s">
        <v>302</v>
      </c>
      <c r="P5" s="53" t="s">
        <v>303</v>
      </c>
      <c r="Q5" s="54" t="s">
        <v>302</v>
      </c>
      <c r="R5" s="53" t="s">
        <v>303</v>
      </c>
      <c r="S5" s="54" t="s">
        <v>302</v>
      </c>
      <c r="T5" s="53" t="s">
        <v>303</v>
      </c>
      <c r="U5" s="54" t="s">
        <v>302</v>
      </c>
      <c r="V5" s="53" t="s">
        <v>303</v>
      </c>
      <c r="W5" s="54" t="s">
        <v>302</v>
      </c>
      <c r="X5" s="53" t="s">
        <v>303</v>
      </c>
      <c r="Y5" s="54" t="s">
        <v>302</v>
      </c>
      <c r="Z5" s="53" t="s">
        <v>303</v>
      </c>
      <c r="AA5" s="54" t="s">
        <v>302</v>
      </c>
      <c r="AB5" s="53" t="s">
        <v>303</v>
      </c>
      <c r="AC5" s="54" t="s">
        <v>302</v>
      </c>
      <c r="AD5" s="53" t="s">
        <v>303</v>
      </c>
      <c r="AE5" s="54" t="s">
        <v>302</v>
      </c>
      <c r="AF5" s="53" t="s">
        <v>303</v>
      </c>
      <c r="AG5" s="54" t="s">
        <v>302</v>
      </c>
      <c r="AH5" s="53" t="s">
        <v>303</v>
      </c>
      <c r="AI5" s="54" t="s">
        <v>302</v>
      </c>
      <c r="AJ5" s="53" t="s">
        <v>303</v>
      </c>
      <c r="AK5" s="54" t="s">
        <v>302</v>
      </c>
      <c r="AL5" s="53" t="s">
        <v>303</v>
      </c>
      <c r="AM5" s="54" t="s">
        <v>302</v>
      </c>
      <c r="AN5" s="53" t="s">
        <v>303</v>
      </c>
      <c r="AO5" s="54" t="s">
        <v>302</v>
      </c>
      <c r="AP5" s="53" t="s">
        <v>303</v>
      </c>
      <c r="AQ5" s="54" t="s">
        <v>302</v>
      </c>
      <c r="AR5" s="53" t="s">
        <v>303</v>
      </c>
      <c r="AS5" s="54" t="s">
        <v>302</v>
      </c>
      <c r="AT5" s="53" t="s">
        <v>303</v>
      </c>
      <c r="AU5" s="54" t="s">
        <v>302</v>
      </c>
      <c r="AV5" s="53" t="s">
        <v>303</v>
      </c>
      <c r="AW5" s="54" t="s">
        <v>302</v>
      </c>
      <c r="AX5" s="53" t="s">
        <v>303</v>
      </c>
      <c r="AY5" s="54" t="s">
        <v>302</v>
      </c>
      <c r="AZ5" s="53" t="s">
        <v>303</v>
      </c>
      <c r="BA5" s="54" t="s">
        <v>302</v>
      </c>
      <c r="BB5" s="53" t="s">
        <v>303</v>
      </c>
      <c r="BC5" s="54" t="s">
        <v>302</v>
      </c>
      <c r="BD5" s="53" t="s">
        <v>303</v>
      </c>
      <c r="BE5" s="54" t="s">
        <v>302</v>
      </c>
      <c r="BF5" s="53" t="s">
        <v>303</v>
      </c>
      <c r="BG5" s="54" t="s">
        <v>302</v>
      </c>
      <c r="BH5" s="53" t="s">
        <v>303</v>
      </c>
      <c r="BI5" s="54" t="s">
        <v>302</v>
      </c>
      <c r="BJ5" s="53" t="s">
        <v>303</v>
      </c>
      <c r="BK5" s="54" t="s">
        <v>302</v>
      </c>
      <c r="BL5" s="105" t="s">
        <v>303</v>
      </c>
      <c r="BM5" s="106" t="s">
        <v>302</v>
      </c>
    </row>
    <row r="6" spans="1:65" x14ac:dyDescent="0.25">
      <c r="A6" s="92" t="s">
        <v>279</v>
      </c>
      <c r="B6" s="92"/>
      <c r="C6" s="92">
        <v>2</v>
      </c>
      <c r="D6" s="76"/>
      <c r="E6" s="76"/>
      <c r="F6" s="76"/>
      <c r="G6" s="76"/>
      <c r="H6" s="92">
        <v>39921</v>
      </c>
      <c r="I6" s="92">
        <v>143764</v>
      </c>
      <c r="J6" s="76"/>
      <c r="K6" s="76"/>
      <c r="L6" s="92">
        <v>11237</v>
      </c>
      <c r="M6" s="92">
        <v>36080</v>
      </c>
      <c r="N6" s="76"/>
      <c r="O6" s="76"/>
      <c r="P6" s="91">
        <v>640.41999999999996</v>
      </c>
      <c r="Q6" s="91">
        <v>1443</v>
      </c>
      <c r="R6" s="92">
        <v>12392.69</v>
      </c>
      <c r="S6" s="92">
        <v>36203.660000000003</v>
      </c>
      <c r="T6" s="92">
        <v>7372</v>
      </c>
      <c r="U6" s="92">
        <v>21248</v>
      </c>
      <c r="V6" s="92">
        <v>30872</v>
      </c>
      <c r="W6" s="92">
        <v>106136</v>
      </c>
      <c r="X6" s="92">
        <v>58994</v>
      </c>
      <c r="Y6" s="92">
        <v>220023</v>
      </c>
      <c r="Z6" s="92">
        <v>18863</v>
      </c>
      <c r="AA6" s="92">
        <v>76563</v>
      </c>
      <c r="AB6" s="92">
        <v>1452</v>
      </c>
      <c r="AC6" s="92">
        <v>3685</v>
      </c>
      <c r="AD6" s="92">
        <v>1112</v>
      </c>
      <c r="AE6" s="92">
        <v>7772</v>
      </c>
      <c r="AF6" s="92">
        <v>4333.16</v>
      </c>
      <c r="AG6" s="92">
        <v>12648.2</v>
      </c>
      <c r="AH6" s="76"/>
      <c r="AI6" s="76"/>
      <c r="AJ6" s="76"/>
      <c r="AK6" s="76"/>
      <c r="AL6" s="92">
        <v>23865.3</v>
      </c>
      <c r="AM6" s="92">
        <v>91242.13</v>
      </c>
      <c r="AN6" s="92">
        <v>330</v>
      </c>
      <c r="AO6" s="92">
        <v>935</v>
      </c>
      <c r="AP6" s="92">
        <v>315</v>
      </c>
      <c r="AQ6" s="92">
        <v>1167</v>
      </c>
      <c r="AR6" s="76">
        <v>16558</v>
      </c>
      <c r="AS6" s="76">
        <v>80341</v>
      </c>
      <c r="AT6" s="92">
        <v>5244</v>
      </c>
      <c r="AU6" s="92">
        <v>23905</v>
      </c>
      <c r="AV6" s="92">
        <v>33643</v>
      </c>
      <c r="AW6" s="92">
        <v>98623</v>
      </c>
      <c r="AX6" s="92">
        <v>1460</v>
      </c>
      <c r="AY6" s="92">
        <v>4017</v>
      </c>
      <c r="AZ6" s="76"/>
      <c r="BA6" s="76"/>
      <c r="BB6" s="92">
        <v>35365</v>
      </c>
      <c r="BC6" s="92">
        <v>127762</v>
      </c>
      <c r="BD6" s="92">
        <v>132696</v>
      </c>
      <c r="BE6" s="92">
        <v>402270</v>
      </c>
      <c r="BF6" s="92">
        <v>33763</v>
      </c>
      <c r="BG6" s="92">
        <v>136149</v>
      </c>
      <c r="BH6" s="92">
        <v>33525</v>
      </c>
      <c r="BI6" s="92">
        <v>141637</v>
      </c>
      <c r="BJ6" s="92">
        <v>3676</v>
      </c>
      <c r="BK6" s="92">
        <v>17463</v>
      </c>
      <c r="BL6" s="68">
        <f>SUM(B6+D6+F6+H6+J6+L6+N6+P6+R6+T6+V6+X6+Z6+AB6+AD6+AF6+AH6+AJ6+AL6+AN6+AP6+AR6+AT6+AV6+AX6+AZ6+BB6+BD6+BF6+BH6+BJ6)</f>
        <v>507629.56999999995</v>
      </c>
      <c r="BM6" s="68">
        <f>SUM(C6+E6+G6+I6+K6+M6+O6+Q6+S6+U6+W6+Y6+AA6+AC6+AE6+AG6+AI6+AK6+AM6+AO6+AQ6+AS6+AU6+AW6+AY6+BA6+BC6+BE6+BG6+BI6+BK6)</f>
        <v>1791078.99</v>
      </c>
    </row>
    <row r="7" spans="1:65" x14ac:dyDescent="0.25">
      <c r="A7" s="92" t="s">
        <v>280</v>
      </c>
      <c r="B7" s="92"/>
      <c r="C7" s="92"/>
      <c r="D7" s="76"/>
      <c r="E7" s="76"/>
      <c r="F7" s="76"/>
      <c r="G7" s="76"/>
      <c r="H7" s="92">
        <v>1987</v>
      </c>
      <c r="I7" s="92">
        <v>6113</v>
      </c>
      <c r="J7" s="76"/>
      <c r="K7" s="76"/>
      <c r="L7" s="92">
        <v>728</v>
      </c>
      <c r="M7" s="92">
        <v>1650</v>
      </c>
      <c r="N7" s="76"/>
      <c r="O7" s="76"/>
      <c r="P7" s="91">
        <v>292.54000000000002</v>
      </c>
      <c r="Q7" s="91">
        <v>641.55999999999995</v>
      </c>
      <c r="R7" s="92">
        <v>1154.68</v>
      </c>
      <c r="S7" s="92">
        <v>5637.49</v>
      </c>
      <c r="T7" s="92">
        <v>4046</v>
      </c>
      <c r="U7" s="92">
        <v>23607</v>
      </c>
      <c r="V7" s="92">
        <v>2607</v>
      </c>
      <c r="W7" s="92">
        <v>13760</v>
      </c>
      <c r="X7" s="92">
        <v>3564</v>
      </c>
      <c r="Y7" s="92">
        <v>10690</v>
      </c>
      <c r="Z7" s="92">
        <v>2706</v>
      </c>
      <c r="AA7" s="92">
        <v>8047</v>
      </c>
      <c r="AB7" s="92">
        <v>295</v>
      </c>
      <c r="AC7" s="92">
        <v>802</v>
      </c>
      <c r="AD7" s="92">
        <v>422</v>
      </c>
      <c r="AE7" s="92">
        <v>866</v>
      </c>
      <c r="AF7" s="92">
        <v>1630.57</v>
      </c>
      <c r="AG7" s="92">
        <v>4686.53</v>
      </c>
      <c r="AH7" s="76"/>
      <c r="AI7" s="76"/>
      <c r="AJ7" s="76"/>
      <c r="AK7" s="76"/>
      <c r="AL7" s="92">
        <v>4916.7700000000004</v>
      </c>
      <c r="AM7" s="92">
        <v>10458.959999999999</v>
      </c>
      <c r="AN7" s="92">
        <v>36</v>
      </c>
      <c r="AO7" s="92">
        <v>79</v>
      </c>
      <c r="AP7" s="92">
        <v>173</v>
      </c>
      <c r="AQ7" s="92">
        <v>629</v>
      </c>
      <c r="AR7" s="76">
        <v>3669</v>
      </c>
      <c r="AS7" s="76">
        <v>8417</v>
      </c>
      <c r="AT7" s="92">
        <v>1092</v>
      </c>
      <c r="AU7" s="92">
        <v>6091</v>
      </c>
      <c r="AV7" s="92">
        <v>282</v>
      </c>
      <c r="AW7" s="92">
        <v>233</v>
      </c>
      <c r="AX7" s="92">
        <v>377</v>
      </c>
      <c r="AY7" s="92">
        <v>794</v>
      </c>
      <c r="AZ7" s="76"/>
      <c r="BA7" s="76"/>
      <c r="BB7" s="92">
        <v>2624</v>
      </c>
      <c r="BC7" s="92">
        <v>10521</v>
      </c>
      <c r="BD7" s="92">
        <v>23989</v>
      </c>
      <c r="BE7" s="92">
        <v>71769</v>
      </c>
      <c r="BF7" s="92">
        <v>5597</v>
      </c>
      <c r="BG7" s="92">
        <v>12726</v>
      </c>
      <c r="BH7" s="92">
        <v>6925</v>
      </c>
      <c r="BI7" s="92">
        <v>16274</v>
      </c>
      <c r="BJ7" s="92">
        <v>180</v>
      </c>
      <c r="BK7" s="92">
        <v>393</v>
      </c>
      <c r="BL7" s="68">
        <f t="shared" ref="BL7:BL12" si="0">SUM(B7+D7+F7+H7+J7+L7+N7+P7+R7+T7+V7+X7+Z7+AB7+AD7+AF7+AH7+AJ7+AL7+AN7+AP7+AR7+AT7+AV7+AX7+AZ7+BB7+BD7+BF7+BH7+BJ7)</f>
        <v>69293.56</v>
      </c>
      <c r="BM7" s="68">
        <f t="shared" ref="BM7:BM12" si="1">SUM(C7+E7+G7+I7+K7+M7+O7+Q7+S7+U7+W7+Y7+AA7+AC7+AE7+AG7+AI7+AK7+AM7+AO7+AQ7+AS7+AU7+AW7+AY7+BA7+BC7+BE7+BG7+BI7+BK7)</f>
        <v>214885.54</v>
      </c>
    </row>
    <row r="8" spans="1:65" x14ac:dyDescent="0.25">
      <c r="A8" s="92" t="s">
        <v>281</v>
      </c>
      <c r="B8" s="92"/>
      <c r="C8" s="92">
        <v>0</v>
      </c>
      <c r="D8" s="76"/>
      <c r="E8" s="76"/>
      <c r="F8" s="76"/>
      <c r="G8" s="76"/>
      <c r="H8" s="92">
        <v>-35240</v>
      </c>
      <c r="I8" s="92">
        <v>-129863</v>
      </c>
      <c r="J8" s="76"/>
      <c r="K8" s="76"/>
      <c r="L8" s="92">
        <v>13888</v>
      </c>
      <c r="M8" s="92">
        <v>31511</v>
      </c>
      <c r="N8" s="76"/>
      <c r="O8" s="76"/>
      <c r="P8" s="91">
        <v>736.46</v>
      </c>
      <c r="Q8" s="91">
        <v>1653.09</v>
      </c>
      <c r="R8" s="92">
        <v>8727.52</v>
      </c>
      <c r="S8" s="92">
        <v>28555</v>
      </c>
      <c r="T8" s="92">
        <v>9510</v>
      </c>
      <c r="U8" s="92">
        <v>38898</v>
      </c>
      <c r="V8" s="92">
        <v>-26878</v>
      </c>
      <c r="W8" s="92">
        <v>-95596</v>
      </c>
      <c r="X8" s="92">
        <v>44668</v>
      </c>
      <c r="Y8" s="92">
        <v>172045</v>
      </c>
      <c r="Z8" s="92">
        <v>17735</v>
      </c>
      <c r="AA8" s="92">
        <v>71387</v>
      </c>
      <c r="AB8" s="92">
        <v>1158</v>
      </c>
      <c r="AC8" s="92">
        <v>3082</v>
      </c>
      <c r="AD8" s="92">
        <v>786</v>
      </c>
      <c r="AE8" s="92">
        <v>6346</v>
      </c>
      <c r="AF8" s="92">
        <v>-4514.58</v>
      </c>
      <c r="AG8" s="92">
        <v>-13665.98</v>
      </c>
      <c r="AH8" s="76"/>
      <c r="AI8" s="76"/>
      <c r="AJ8" s="76"/>
      <c r="AK8" s="76"/>
      <c r="AL8" s="92">
        <v>15609.56</v>
      </c>
      <c r="AM8" s="92">
        <v>31291.86</v>
      </c>
      <c r="AN8" s="92">
        <v>-121</v>
      </c>
      <c r="AO8" s="92">
        <v>-360</v>
      </c>
      <c r="AP8" s="92">
        <v>414</v>
      </c>
      <c r="AQ8" s="92">
        <v>1731</v>
      </c>
      <c r="AR8" s="76">
        <v>13149</v>
      </c>
      <c r="AS8" s="76">
        <v>59834</v>
      </c>
      <c r="AT8" s="92">
        <v>4815</v>
      </c>
      <c r="AU8" s="92">
        <v>25153</v>
      </c>
      <c r="AV8" s="92">
        <v>24817</v>
      </c>
      <c r="AW8" s="92">
        <v>71088</v>
      </c>
      <c r="AX8" s="92">
        <v>941</v>
      </c>
      <c r="AY8" s="92">
        <v>2513</v>
      </c>
      <c r="AZ8" s="76"/>
      <c r="BA8" s="76"/>
      <c r="BB8" s="92">
        <v>26949</v>
      </c>
      <c r="BC8" s="92">
        <v>101094</v>
      </c>
      <c r="BD8" s="92">
        <v>87163</v>
      </c>
      <c r="BE8" s="92">
        <v>270825</v>
      </c>
      <c r="BF8" s="92">
        <v>24827</v>
      </c>
      <c r="BG8" s="92">
        <v>91581</v>
      </c>
      <c r="BH8" s="92">
        <v>19094</v>
      </c>
      <c r="BI8" s="92">
        <v>77218</v>
      </c>
      <c r="BJ8" s="92">
        <v>2497</v>
      </c>
      <c r="BK8" s="92">
        <v>13257</v>
      </c>
      <c r="BL8" s="68">
        <f t="shared" si="0"/>
        <v>250730.96</v>
      </c>
      <c r="BM8" s="68">
        <f t="shared" si="1"/>
        <v>859577.97</v>
      </c>
    </row>
    <row r="9" spans="1:65" s="7" customFormat="1" x14ac:dyDescent="0.25">
      <c r="A9" s="10" t="s">
        <v>282</v>
      </c>
      <c r="B9" s="10"/>
      <c r="C9" s="10">
        <v>2</v>
      </c>
      <c r="D9" s="10"/>
      <c r="E9" s="10"/>
      <c r="F9" s="10"/>
      <c r="G9" s="10"/>
      <c r="H9" s="10">
        <v>6667</v>
      </c>
      <c r="I9" s="10">
        <v>20014</v>
      </c>
      <c r="J9" s="10"/>
      <c r="K9" s="10"/>
      <c r="L9" s="10">
        <v>-1923</v>
      </c>
      <c r="M9" s="10">
        <v>6219</v>
      </c>
      <c r="N9" s="10"/>
      <c r="O9" s="10"/>
      <c r="P9" s="131">
        <v>196.5</v>
      </c>
      <c r="Q9" s="131">
        <v>431.47</v>
      </c>
      <c r="R9" s="10">
        <v>4819.8599999999997</v>
      </c>
      <c r="S9" s="10">
        <v>13286.15</v>
      </c>
      <c r="T9" s="10">
        <v>1908</v>
      </c>
      <c r="U9" s="10">
        <v>5957</v>
      </c>
      <c r="V9" s="10">
        <v>6601</v>
      </c>
      <c r="W9" s="10">
        <v>24300</v>
      </c>
      <c r="X9" s="10">
        <v>17891</v>
      </c>
      <c r="Y9" s="10">
        <v>58668</v>
      </c>
      <c r="Z9" s="10">
        <v>3834</v>
      </c>
      <c r="AA9" s="10">
        <v>13223</v>
      </c>
      <c r="AB9" s="10">
        <v>589</v>
      </c>
      <c r="AC9" s="10">
        <v>1405</v>
      </c>
      <c r="AD9" s="10">
        <v>747</v>
      </c>
      <c r="AE9" s="10">
        <v>2293</v>
      </c>
      <c r="AF9" s="10">
        <v>1449.15</v>
      </c>
      <c r="AG9" s="10">
        <v>3668.75</v>
      </c>
      <c r="AH9" s="10"/>
      <c r="AI9" s="10"/>
      <c r="AJ9" s="10"/>
      <c r="AK9" s="10"/>
      <c r="AL9" s="10">
        <v>13172.51</v>
      </c>
      <c r="AM9" s="10">
        <v>70409.23</v>
      </c>
      <c r="AN9" s="10">
        <v>245</v>
      </c>
      <c r="AO9" s="10">
        <v>653</v>
      </c>
      <c r="AP9" s="10">
        <v>74</v>
      </c>
      <c r="AQ9" s="10">
        <v>65</v>
      </c>
      <c r="AR9" s="10">
        <v>7078</v>
      </c>
      <c r="AS9" s="10">
        <v>28923</v>
      </c>
      <c r="AT9" s="10">
        <v>1521</v>
      </c>
      <c r="AU9" s="10">
        <v>4843</v>
      </c>
      <c r="AV9" s="10">
        <v>9108</v>
      </c>
      <c r="AW9" s="10">
        <v>27768</v>
      </c>
      <c r="AX9" s="10">
        <v>897</v>
      </c>
      <c r="AY9" s="10">
        <v>2297</v>
      </c>
      <c r="AZ9" s="10"/>
      <c r="BA9" s="10"/>
      <c r="BB9" s="10">
        <v>11040</v>
      </c>
      <c r="BC9" s="10">
        <v>37189</v>
      </c>
      <c r="BD9" s="10">
        <v>69522</v>
      </c>
      <c r="BE9" s="10">
        <v>203214</v>
      </c>
      <c r="BF9" s="10">
        <v>14533</v>
      </c>
      <c r="BG9" s="10">
        <v>57294</v>
      </c>
      <c r="BH9" s="10">
        <v>21356</v>
      </c>
      <c r="BI9" s="10">
        <v>80693</v>
      </c>
      <c r="BJ9" s="10">
        <v>1360</v>
      </c>
      <c r="BK9" s="10">
        <v>4599</v>
      </c>
      <c r="BL9" s="63">
        <f t="shared" si="0"/>
        <v>192686.02000000002</v>
      </c>
      <c r="BM9" s="63">
        <f t="shared" si="1"/>
        <v>667414.6</v>
      </c>
    </row>
    <row r="10" spans="1:65" x14ac:dyDescent="0.25">
      <c r="A10" s="92" t="s">
        <v>283</v>
      </c>
      <c r="B10" s="92">
        <v>1</v>
      </c>
      <c r="C10" s="92">
        <v>1</v>
      </c>
      <c r="D10" s="92"/>
      <c r="E10" s="92"/>
      <c r="F10" s="92"/>
      <c r="G10" s="92"/>
      <c r="H10" s="92">
        <v>29442</v>
      </c>
      <c r="I10" s="92">
        <v>28963</v>
      </c>
      <c r="J10" s="92"/>
      <c r="K10" s="92"/>
      <c r="L10" s="92">
        <v>44502</v>
      </c>
      <c r="M10" s="92">
        <v>43602</v>
      </c>
      <c r="N10" s="92"/>
      <c r="O10" s="92"/>
      <c r="P10" s="91">
        <v>362.64</v>
      </c>
      <c r="Q10" s="91">
        <v>259.33</v>
      </c>
      <c r="R10" s="92">
        <v>14962.77</v>
      </c>
      <c r="S10" s="92">
        <v>14146.29</v>
      </c>
      <c r="T10" s="92">
        <v>4692</v>
      </c>
      <c r="U10" s="92">
        <v>2806</v>
      </c>
      <c r="V10" s="92">
        <v>41470</v>
      </c>
      <c r="W10" s="92">
        <v>37927</v>
      </c>
      <c r="X10" s="92">
        <v>49084</v>
      </c>
      <c r="Y10" s="92">
        <v>32549</v>
      </c>
      <c r="Z10" s="92">
        <v>0</v>
      </c>
      <c r="AA10" s="92">
        <v>5551</v>
      </c>
      <c r="AB10" s="92">
        <v>3400</v>
      </c>
      <c r="AC10" s="92">
        <v>3023</v>
      </c>
      <c r="AD10" s="92">
        <v>4545</v>
      </c>
      <c r="AE10" s="92">
        <v>4194</v>
      </c>
      <c r="AF10" s="92">
        <v>3707.49</v>
      </c>
      <c r="AG10" s="92">
        <v>3260.1</v>
      </c>
      <c r="AH10" s="92"/>
      <c r="AI10" s="92"/>
      <c r="AJ10" s="92"/>
      <c r="AK10" s="92"/>
      <c r="AL10" s="92">
        <v>45470.94</v>
      </c>
      <c r="AM10" s="92">
        <v>42346.28</v>
      </c>
      <c r="AN10" s="92">
        <v>12321</v>
      </c>
      <c r="AO10" s="92">
        <v>12363</v>
      </c>
      <c r="AP10" s="92">
        <v>149</v>
      </c>
      <c r="AQ10" s="92">
        <v>215</v>
      </c>
      <c r="AR10" s="92">
        <v>22005</v>
      </c>
      <c r="AS10" s="92">
        <v>17242</v>
      </c>
      <c r="AT10" s="92">
        <v>9873</v>
      </c>
      <c r="AU10" s="92">
        <v>9658</v>
      </c>
      <c r="AV10" s="92">
        <v>79538</v>
      </c>
      <c r="AW10" s="92">
        <v>66636</v>
      </c>
      <c r="AX10" s="92">
        <v>6019</v>
      </c>
      <c r="AY10" s="92">
        <v>5681</v>
      </c>
      <c r="AZ10" s="92"/>
      <c r="BA10" s="92"/>
      <c r="BB10" s="92">
        <v>51793</v>
      </c>
      <c r="BC10" s="92">
        <v>44663</v>
      </c>
      <c r="BD10" s="92">
        <v>188048</v>
      </c>
      <c r="BE10" s="92">
        <v>181066</v>
      </c>
      <c r="BF10" s="92">
        <v>0</v>
      </c>
      <c r="BG10" s="92"/>
      <c r="BH10" s="92">
        <v>53090</v>
      </c>
      <c r="BI10" s="92">
        <v>46885</v>
      </c>
      <c r="BJ10" s="92">
        <v>10857</v>
      </c>
      <c r="BK10" s="92">
        <v>10419</v>
      </c>
      <c r="BL10" s="68">
        <f t="shared" si="0"/>
        <v>675332.84</v>
      </c>
      <c r="BM10" s="68">
        <f t="shared" si="1"/>
        <v>613456</v>
      </c>
    </row>
    <row r="11" spans="1:65" x14ac:dyDescent="0.25">
      <c r="A11" s="2" t="s">
        <v>284</v>
      </c>
      <c r="B11" s="92">
        <v>1</v>
      </c>
      <c r="C11" s="92">
        <v>1</v>
      </c>
      <c r="D11" s="92"/>
      <c r="E11" s="92"/>
      <c r="F11" s="92"/>
      <c r="G11" s="92"/>
      <c r="H11" s="92">
        <v>29887</v>
      </c>
      <c r="I11" s="92">
        <v>29887</v>
      </c>
      <c r="J11" s="92"/>
      <c r="K11" s="92"/>
      <c r="L11" s="92">
        <v>38692</v>
      </c>
      <c r="M11" s="92">
        <v>38692</v>
      </c>
      <c r="N11" s="92"/>
      <c r="O11" s="92"/>
      <c r="P11" s="91">
        <v>522.95000000000005</v>
      </c>
      <c r="Q11" s="91">
        <v>522.95000000000005</v>
      </c>
      <c r="R11" s="92">
        <v>16339.4</v>
      </c>
      <c r="S11" s="92">
        <v>16339.4</v>
      </c>
      <c r="T11" s="92">
        <v>5695</v>
      </c>
      <c r="U11" s="92">
        <v>5695</v>
      </c>
      <c r="V11" s="92">
        <v>-40741</v>
      </c>
      <c r="W11" s="92">
        <v>-40741</v>
      </c>
      <c r="X11" s="92">
        <v>48518</v>
      </c>
      <c r="Y11" s="92">
        <v>48518</v>
      </c>
      <c r="Z11" s="92">
        <v>614</v>
      </c>
      <c r="AA11" s="92">
        <v>10859</v>
      </c>
      <c r="AB11" s="92">
        <v>3664</v>
      </c>
      <c r="AC11" s="92">
        <v>3664</v>
      </c>
      <c r="AD11" s="92">
        <v>4590</v>
      </c>
      <c r="AE11" s="92">
        <v>4590</v>
      </c>
      <c r="AF11" s="92">
        <v>-5086.96</v>
      </c>
      <c r="AG11" s="92">
        <v>-5086.96</v>
      </c>
      <c r="AH11" s="92"/>
      <c r="AI11" s="92"/>
      <c r="AJ11" s="92"/>
      <c r="AK11" s="92"/>
      <c r="AL11" s="92">
        <v>46365.25</v>
      </c>
      <c r="AM11" s="92">
        <v>46365.25</v>
      </c>
      <c r="AN11" s="92">
        <v>-12320</v>
      </c>
      <c r="AO11" s="92">
        <v>-12320</v>
      </c>
      <c r="AP11" s="92">
        <v>115</v>
      </c>
      <c r="AQ11" s="92">
        <v>115</v>
      </c>
      <c r="AR11" s="92">
        <v>20057</v>
      </c>
      <c r="AS11" s="92">
        <v>20057</v>
      </c>
      <c r="AT11" s="92">
        <v>9843</v>
      </c>
      <c r="AU11" s="92">
        <v>9843</v>
      </c>
      <c r="AV11" s="92">
        <v>79733</v>
      </c>
      <c r="AW11" s="92">
        <v>74007</v>
      </c>
      <c r="AX11" s="92">
        <v>6335</v>
      </c>
      <c r="AY11" s="92">
        <v>6335</v>
      </c>
      <c r="AZ11" s="92"/>
      <c r="BA11" s="92"/>
      <c r="BB11" s="92">
        <v>51897</v>
      </c>
      <c r="BC11" s="92">
        <v>51897</v>
      </c>
      <c r="BD11" s="92">
        <v>184357</v>
      </c>
      <c r="BE11" s="92">
        <v>184357</v>
      </c>
      <c r="BF11" s="92">
        <v>-495</v>
      </c>
      <c r="BG11" s="92">
        <v>-1941</v>
      </c>
      <c r="BH11" s="92">
        <v>55373</v>
      </c>
      <c r="BI11" s="92">
        <v>55373</v>
      </c>
      <c r="BJ11" s="92">
        <v>-10756</v>
      </c>
      <c r="BK11" s="92">
        <v>-10756</v>
      </c>
      <c r="BL11" s="68">
        <f t="shared" si="0"/>
        <v>533199.64</v>
      </c>
      <c r="BM11" s="68">
        <f t="shared" si="1"/>
        <v>536272.64000000001</v>
      </c>
    </row>
    <row r="12" spans="1:65" s="7" customFormat="1" x14ac:dyDescent="0.25">
      <c r="A12" s="10" t="s">
        <v>192</v>
      </c>
      <c r="B12" s="10"/>
      <c r="C12" s="10">
        <v>2</v>
      </c>
      <c r="D12" s="10"/>
      <c r="E12" s="10"/>
      <c r="F12" s="10"/>
      <c r="G12" s="10"/>
      <c r="H12" s="10">
        <v>6222</v>
      </c>
      <c r="I12" s="10">
        <v>19090</v>
      </c>
      <c r="J12" s="10"/>
      <c r="K12" s="10"/>
      <c r="L12" s="10">
        <v>3887</v>
      </c>
      <c r="M12" s="10">
        <v>11129</v>
      </c>
      <c r="N12" s="10"/>
      <c r="O12" s="10"/>
      <c r="P12" s="131">
        <v>36.19</v>
      </c>
      <c r="Q12" s="131">
        <v>167.85</v>
      </c>
      <c r="R12" s="10">
        <v>3443.23</v>
      </c>
      <c r="S12" s="10">
        <v>11093.03</v>
      </c>
      <c r="T12" s="10">
        <v>905</v>
      </c>
      <c r="U12" s="10">
        <v>3068</v>
      </c>
      <c r="V12" s="10">
        <v>7330</v>
      </c>
      <c r="W12" s="10">
        <v>21486</v>
      </c>
      <c r="X12" s="10">
        <v>18456</v>
      </c>
      <c r="Y12" s="10">
        <v>48898</v>
      </c>
      <c r="Z12" s="10">
        <v>3220</v>
      </c>
      <c r="AA12" s="10">
        <v>7915</v>
      </c>
      <c r="AB12" s="10">
        <v>325</v>
      </c>
      <c r="AC12" s="10">
        <v>764</v>
      </c>
      <c r="AD12" s="10">
        <v>702</v>
      </c>
      <c r="AE12" s="10">
        <v>1896</v>
      </c>
      <c r="AF12" s="10">
        <v>69.680000000000007</v>
      </c>
      <c r="AG12" s="10">
        <v>1841.89</v>
      </c>
      <c r="AH12" s="10"/>
      <c r="AI12" s="10"/>
      <c r="AJ12" s="10"/>
      <c r="AK12" s="10"/>
      <c r="AL12" s="10">
        <v>12278.2</v>
      </c>
      <c r="AM12" s="10">
        <v>66390.259999999995</v>
      </c>
      <c r="AN12" s="10">
        <v>246</v>
      </c>
      <c r="AO12" s="10">
        <v>696</v>
      </c>
      <c r="AP12" s="10">
        <v>108</v>
      </c>
      <c r="AQ12" s="10">
        <v>166</v>
      </c>
      <c r="AR12" s="10">
        <v>9026</v>
      </c>
      <c r="AS12" s="10">
        <v>26108</v>
      </c>
      <c r="AT12" s="10">
        <v>1551</v>
      </c>
      <c r="AU12" s="10">
        <v>4658</v>
      </c>
      <c r="AV12" s="10">
        <v>8913</v>
      </c>
      <c r="AW12" s="10">
        <v>20397</v>
      </c>
      <c r="AX12" s="10">
        <v>580</v>
      </c>
      <c r="AY12" s="10">
        <v>1643</v>
      </c>
      <c r="AZ12" s="10"/>
      <c r="BA12" s="10"/>
      <c r="BB12" s="10">
        <v>10936</v>
      </c>
      <c r="BC12" s="10">
        <v>29954</v>
      </c>
      <c r="BD12" s="10">
        <v>73213</v>
      </c>
      <c r="BE12" s="10">
        <v>199923</v>
      </c>
      <c r="BF12" s="10">
        <v>15028</v>
      </c>
      <c r="BG12" s="10">
        <v>59235</v>
      </c>
      <c r="BH12" s="10">
        <v>19073</v>
      </c>
      <c r="BI12" s="10">
        <v>72205</v>
      </c>
      <c r="BJ12" s="10">
        <v>1461</v>
      </c>
      <c r="BK12" s="10">
        <v>4263</v>
      </c>
      <c r="BL12" s="63">
        <f t="shared" si="0"/>
        <v>197009.3</v>
      </c>
      <c r="BM12" s="63">
        <f t="shared" si="1"/>
        <v>612989.03</v>
      </c>
    </row>
    <row r="14" spans="1:65" x14ac:dyDescent="0.25">
      <c r="A14" s="23" t="s">
        <v>183</v>
      </c>
    </row>
    <row r="15" spans="1:65" x14ac:dyDescent="0.25">
      <c r="A15" s="1" t="s">
        <v>0</v>
      </c>
      <c r="B15" s="153" t="s">
        <v>1</v>
      </c>
      <c r="C15" s="154"/>
      <c r="D15" s="153" t="s">
        <v>234</v>
      </c>
      <c r="E15" s="154"/>
      <c r="F15" s="153" t="s">
        <v>2</v>
      </c>
      <c r="G15" s="154"/>
      <c r="H15" s="153" t="s">
        <v>3</v>
      </c>
      <c r="I15" s="154"/>
      <c r="J15" s="153" t="s">
        <v>243</v>
      </c>
      <c r="K15" s="154"/>
      <c r="L15" s="153" t="s">
        <v>235</v>
      </c>
      <c r="M15" s="154"/>
      <c r="N15" s="153" t="s">
        <v>5</v>
      </c>
      <c r="O15" s="154"/>
      <c r="P15" s="153" t="s">
        <v>4</v>
      </c>
      <c r="Q15" s="154"/>
      <c r="R15" s="153" t="s">
        <v>6</v>
      </c>
      <c r="S15" s="154"/>
      <c r="T15" s="153" t="s">
        <v>246</v>
      </c>
      <c r="U15" s="154"/>
      <c r="V15" s="153" t="s">
        <v>7</v>
      </c>
      <c r="W15" s="154"/>
      <c r="X15" s="153" t="s">
        <v>8</v>
      </c>
      <c r="Y15" s="154"/>
      <c r="Z15" s="153" t="s">
        <v>9</v>
      </c>
      <c r="AA15" s="154"/>
      <c r="AB15" s="153" t="s">
        <v>242</v>
      </c>
      <c r="AC15" s="154"/>
      <c r="AD15" s="153" t="s">
        <v>10</v>
      </c>
      <c r="AE15" s="154"/>
      <c r="AF15" s="153" t="s">
        <v>11</v>
      </c>
      <c r="AG15" s="154"/>
      <c r="AH15" s="153" t="s">
        <v>236</v>
      </c>
      <c r="AI15" s="154"/>
      <c r="AJ15" s="153" t="s">
        <v>245</v>
      </c>
      <c r="AK15" s="154"/>
      <c r="AL15" s="153" t="s">
        <v>12</v>
      </c>
      <c r="AM15" s="154"/>
      <c r="AN15" s="153" t="s">
        <v>237</v>
      </c>
      <c r="AO15" s="154"/>
      <c r="AP15" s="153" t="s">
        <v>238</v>
      </c>
      <c r="AQ15" s="154"/>
      <c r="AR15" s="153" t="s">
        <v>241</v>
      </c>
      <c r="AS15" s="154"/>
      <c r="AT15" s="153" t="s">
        <v>13</v>
      </c>
      <c r="AU15" s="154"/>
      <c r="AV15" s="153" t="s">
        <v>14</v>
      </c>
      <c r="AW15" s="154"/>
      <c r="AX15" s="153" t="s">
        <v>15</v>
      </c>
      <c r="AY15" s="154"/>
      <c r="AZ15" s="153" t="s">
        <v>16</v>
      </c>
      <c r="BA15" s="154"/>
      <c r="BB15" s="153" t="s">
        <v>17</v>
      </c>
      <c r="BC15" s="154"/>
      <c r="BD15" s="153" t="s">
        <v>239</v>
      </c>
      <c r="BE15" s="154"/>
      <c r="BF15" s="153" t="s">
        <v>240</v>
      </c>
      <c r="BG15" s="154"/>
      <c r="BH15" s="153" t="s">
        <v>18</v>
      </c>
      <c r="BI15" s="154"/>
      <c r="BJ15" s="153" t="s">
        <v>19</v>
      </c>
      <c r="BK15" s="154"/>
      <c r="BL15" s="155" t="s">
        <v>20</v>
      </c>
      <c r="BM15" s="156"/>
    </row>
    <row r="16" spans="1:65" ht="30" x14ac:dyDescent="0.25">
      <c r="A16" s="1"/>
      <c r="B16" s="53" t="s">
        <v>303</v>
      </c>
      <c r="C16" s="54" t="s">
        <v>302</v>
      </c>
      <c r="D16" s="53" t="s">
        <v>303</v>
      </c>
      <c r="E16" s="54" t="s">
        <v>302</v>
      </c>
      <c r="F16" s="53" t="s">
        <v>303</v>
      </c>
      <c r="G16" s="54" t="s">
        <v>302</v>
      </c>
      <c r="H16" s="53" t="s">
        <v>303</v>
      </c>
      <c r="I16" s="54" t="s">
        <v>302</v>
      </c>
      <c r="J16" s="53" t="s">
        <v>303</v>
      </c>
      <c r="K16" s="54" t="s">
        <v>302</v>
      </c>
      <c r="L16" s="53" t="s">
        <v>303</v>
      </c>
      <c r="M16" s="54" t="s">
        <v>302</v>
      </c>
      <c r="N16" s="53" t="s">
        <v>303</v>
      </c>
      <c r="O16" s="54" t="s">
        <v>302</v>
      </c>
      <c r="P16" s="53" t="s">
        <v>303</v>
      </c>
      <c r="Q16" s="54" t="s">
        <v>302</v>
      </c>
      <c r="R16" s="53" t="s">
        <v>303</v>
      </c>
      <c r="S16" s="54" t="s">
        <v>302</v>
      </c>
      <c r="T16" s="53" t="s">
        <v>303</v>
      </c>
      <c r="U16" s="54" t="s">
        <v>302</v>
      </c>
      <c r="V16" s="53" t="s">
        <v>303</v>
      </c>
      <c r="W16" s="54" t="s">
        <v>302</v>
      </c>
      <c r="X16" s="53" t="s">
        <v>303</v>
      </c>
      <c r="Y16" s="54" t="s">
        <v>302</v>
      </c>
      <c r="Z16" s="53" t="s">
        <v>303</v>
      </c>
      <c r="AA16" s="54" t="s">
        <v>302</v>
      </c>
      <c r="AB16" s="53" t="s">
        <v>303</v>
      </c>
      <c r="AC16" s="54" t="s">
        <v>302</v>
      </c>
      <c r="AD16" s="53" t="s">
        <v>303</v>
      </c>
      <c r="AE16" s="54" t="s">
        <v>302</v>
      </c>
      <c r="AF16" s="53" t="s">
        <v>303</v>
      </c>
      <c r="AG16" s="54" t="s">
        <v>302</v>
      </c>
      <c r="AH16" s="53" t="s">
        <v>303</v>
      </c>
      <c r="AI16" s="54" t="s">
        <v>302</v>
      </c>
      <c r="AJ16" s="53" t="s">
        <v>303</v>
      </c>
      <c r="AK16" s="54" t="s">
        <v>302</v>
      </c>
      <c r="AL16" s="53" t="s">
        <v>303</v>
      </c>
      <c r="AM16" s="54" t="s">
        <v>302</v>
      </c>
      <c r="AN16" s="53" t="s">
        <v>303</v>
      </c>
      <c r="AO16" s="54" t="s">
        <v>302</v>
      </c>
      <c r="AP16" s="53" t="s">
        <v>303</v>
      </c>
      <c r="AQ16" s="54" t="s">
        <v>302</v>
      </c>
      <c r="AR16" s="53" t="s">
        <v>303</v>
      </c>
      <c r="AS16" s="54" t="s">
        <v>302</v>
      </c>
      <c r="AT16" s="53" t="s">
        <v>303</v>
      </c>
      <c r="AU16" s="54" t="s">
        <v>302</v>
      </c>
      <c r="AV16" s="53" t="s">
        <v>303</v>
      </c>
      <c r="AW16" s="54" t="s">
        <v>302</v>
      </c>
      <c r="AX16" s="53" t="s">
        <v>303</v>
      </c>
      <c r="AY16" s="54" t="s">
        <v>302</v>
      </c>
      <c r="AZ16" s="53" t="s">
        <v>303</v>
      </c>
      <c r="BA16" s="54" t="s">
        <v>302</v>
      </c>
      <c r="BB16" s="53" t="s">
        <v>303</v>
      </c>
      <c r="BC16" s="54" t="s">
        <v>302</v>
      </c>
      <c r="BD16" s="53" t="s">
        <v>303</v>
      </c>
      <c r="BE16" s="54" t="s">
        <v>302</v>
      </c>
      <c r="BF16" s="53" t="s">
        <v>303</v>
      </c>
      <c r="BG16" s="54" t="s">
        <v>302</v>
      </c>
      <c r="BH16" s="53" t="s">
        <v>303</v>
      </c>
      <c r="BI16" s="54" t="s">
        <v>302</v>
      </c>
      <c r="BJ16" s="53" t="s">
        <v>303</v>
      </c>
      <c r="BK16" s="54" t="s">
        <v>302</v>
      </c>
      <c r="BL16" s="105" t="s">
        <v>303</v>
      </c>
      <c r="BM16" s="106" t="s">
        <v>302</v>
      </c>
    </row>
    <row r="17" spans="1:65" x14ac:dyDescent="0.25">
      <c r="A17" s="92" t="s">
        <v>279</v>
      </c>
      <c r="B17" s="76"/>
      <c r="C17" s="76"/>
      <c r="D17" s="76"/>
      <c r="E17" s="76"/>
      <c r="F17" s="76"/>
      <c r="G17" s="76"/>
      <c r="H17" s="92">
        <v>4241</v>
      </c>
      <c r="I17" s="92">
        <v>15921</v>
      </c>
      <c r="J17" s="76"/>
      <c r="K17" s="76"/>
      <c r="L17" s="92">
        <v>2013</v>
      </c>
      <c r="M17" s="92">
        <v>6861</v>
      </c>
      <c r="N17" s="76"/>
      <c r="O17" s="76"/>
      <c r="P17" s="91">
        <v>97.21</v>
      </c>
      <c r="Q17" s="91">
        <v>177.69</v>
      </c>
      <c r="R17" s="92">
        <v>1869.87</v>
      </c>
      <c r="S17" s="92">
        <v>6314.34</v>
      </c>
      <c r="T17" s="92">
        <v>168</v>
      </c>
      <c r="U17" s="92">
        <v>1185</v>
      </c>
      <c r="V17" s="92">
        <v>4158</v>
      </c>
      <c r="W17" s="92">
        <v>13683</v>
      </c>
      <c r="X17" s="92">
        <v>14802</v>
      </c>
      <c r="Y17" s="92">
        <v>47060</v>
      </c>
      <c r="Z17" s="92">
        <v>5659</v>
      </c>
      <c r="AA17" s="92">
        <v>18386</v>
      </c>
      <c r="AB17" s="92">
        <v>200</v>
      </c>
      <c r="AC17" s="92">
        <v>272</v>
      </c>
      <c r="AD17" s="92">
        <v>899</v>
      </c>
      <c r="AE17" s="92">
        <v>2933</v>
      </c>
      <c r="AF17" s="92">
        <v>225.25</v>
      </c>
      <c r="AG17" s="92">
        <v>1247.75</v>
      </c>
      <c r="AH17" s="76"/>
      <c r="AI17" s="76"/>
      <c r="AJ17" s="76"/>
      <c r="AK17" s="76"/>
      <c r="AL17" s="92">
        <v>5071.78</v>
      </c>
      <c r="AM17" s="92">
        <v>16127.16</v>
      </c>
      <c r="AN17" s="76"/>
      <c r="AO17" s="76"/>
      <c r="AP17" s="92"/>
      <c r="AQ17" s="92">
        <v>1</v>
      </c>
      <c r="AR17" s="76">
        <v>3334</v>
      </c>
      <c r="AS17" s="76">
        <v>9173</v>
      </c>
      <c r="AT17" s="92">
        <v>1013</v>
      </c>
      <c r="AU17" s="92">
        <v>3429</v>
      </c>
      <c r="AV17" s="92">
        <v>1524</v>
      </c>
      <c r="AW17" s="92">
        <v>2497</v>
      </c>
      <c r="AX17" s="92">
        <v>38</v>
      </c>
      <c r="AY17" s="92">
        <v>120</v>
      </c>
      <c r="AZ17" s="76"/>
      <c r="BA17" s="76"/>
      <c r="BB17" s="92">
        <v>14620</v>
      </c>
      <c r="BC17" s="92">
        <v>39690</v>
      </c>
      <c r="BD17" s="92">
        <v>23753</v>
      </c>
      <c r="BE17" s="92">
        <v>67183</v>
      </c>
      <c r="BF17" s="92">
        <v>11160</v>
      </c>
      <c r="BG17" s="92">
        <v>32507</v>
      </c>
      <c r="BH17" s="92">
        <v>10277</v>
      </c>
      <c r="BI17" s="92">
        <v>27717</v>
      </c>
      <c r="BJ17" s="92">
        <v>1216</v>
      </c>
      <c r="BK17" s="92">
        <v>3498</v>
      </c>
      <c r="BL17" s="68">
        <f t="shared" ref="BL17:BL23" si="2">SUM(B17+D17+F17+H17+J17+L17+N17+P17+R17+T17+V17+X17+Z17+AB17+AD17+AF17+AH17+AJ17+AL17+AN17+AP17+AR17+AT17+AV17+AX17+AZ17+BB17+BD17+BF17+BH17+BJ17)</f>
        <v>106339.11</v>
      </c>
      <c r="BM17" s="68">
        <f t="shared" ref="BM17:BM23" si="3">SUM(C17+E17+G17+I17+K17+M17+O17+Q17+S17+U17+W17+Y17+AA17+AC17+AE17+AG17+AI17+AK17+AM17+AO17+AQ17+AS17+AU17+AW17+AY17+BA17+BC17+BE17+BG17+BI17+BK17)</f>
        <v>315982.94</v>
      </c>
    </row>
    <row r="18" spans="1:65" x14ac:dyDescent="0.25">
      <c r="A18" s="92" t="s">
        <v>280</v>
      </c>
      <c r="B18" s="76"/>
      <c r="C18" s="76"/>
      <c r="D18" s="76"/>
      <c r="E18" s="76"/>
      <c r="F18" s="76"/>
      <c r="G18" s="76"/>
      <c r="H18" s="92"/>
      <c r="I18" s="92"/>
      <c r="J18" s="76"/>
      <c r="K18" s="76"/>
      <c r="L18" s="92"/>
      <c r="M18" s="92"/>
      <c r="N18" s="76"/>
      <c r="O18" s="76"/>
      <c r="P18" s="91"/>
      <c r="Q18" s="91"/>
      <c r="R18" s="92">
        <v>17.14</v>
      </c>
      <c r="S18" s="92">
        <v>91.55</v>
      </c>
      <c r="T18" s="92">
        <v>50</v>
      </c>
      <c r="U18" s="92">
        <v>167</v>
      </c>
      <c r="V18" s="92">
        <v>-60</v>
      </c>
      <c r="W18" s="92">
        <v>639</v>
      </c>
      <c r="X18" s="92">
        <v>313</v>
      </c>
      <c r="Y18" s="92">
        <v>1374</v>
      </c>
      <c r="Z18" s="92">
        <v>73</v>
      </c>
      <c r="AA18" s="92">
        <v>173</v>
      </c>
      <c r="AB18" s="92">
        <v>6</v>
      </c>
      <c r="AC18" s="92">
        <v>6</v>
      </c>
      <c r="AD18" s="92"/>
      <c r="AE18" s="92">
        <v>13</v>
      </c>
      <c r="AF18" s="92">
        <v>120.41</v>
      </c>
      <c r="AG18" s="92">
        <v>198.38</v>
      </c>
      <c r="AH18" s="76"/>
      <c r="AI18" s="76"/>
      <c r="AJ18" s="76"/>
      <c r="AK18" s="76"/>
      <c r="AL18" s="92">
        <v>137.94</v>
      </c>
      <c r="AM18" s="92">
        <v>530.84</v>
      </c>
      <c r="AN18" s="76"/>
      <c r="AO18" s="76"/>
      <c r="AP18" s="92"/>
      <c r="AQ18" s="92"/>
      <c r="AR18" s="76">
        <v>9</v>
      </c>
      <c r="AS18" s="76">
        <v>49</v>
      </c>
      <c r="AT18" s="92">
        <v>-2</v>
      </c>
      <c r="AU18" s="92">
        <v>-14</v>
      </c>
      <c r="AV18" s="92">
        <v>80</v>
      </c>
      <c r="AW18" s="92">
        <v>214</v>
      </c>
      <c r="AX18" s="92"/>
      <c r="AY18" s="92"/>
      <c r="AZ18" s="76"/>
      <c r="BA18" s="76"/>
      <c r="BB18" s="92">
        <v>898</v>
      </c>
      <c r="BC18" s="92">
        <v>3184</v>
      </c>
      <c r="BD18" s="92">
        <v>508</v>
      </c>
      <c r="BE18" s="92">
        <v>1618</v>
      </c>
      <c r="BF18" s="92">
        <v>107</v>
      </c>
      <c r="BG18" s="92">
        <v>424</v>
      </c>
      <c r="BH18" s="92">
        <v>13</v>
      </c>
      <c r="BI18" s="92">
        <v>309</v>
      </c>
      <c r="BJ18" s="92"/>
      <c r="BK18" s="92"/>
      <c r="BL18" s="68">
        <f t="shared" si="2"/>
        <v>2270.4899999999998</v>
      </c>
      <c r="BM18" s="68">
        <f t="shared" si="3"/>
        <v>8976.77</v>
      </c>
    </row>
    <row r="19" spans="1:65" x14ac:dyDescent="0.25">
      <c r="A19" s="92" t="s">
        <v>281</v>
      </c>
      <c r="B19" s="76"/>
      <c r="C19" s="76"/>
      <c r="D19" s="76"/>
      <c r="E19" s="76"/>
      <c r="F19" s="76"/>
      <c r="G19" s="76"/>
      <c r="H19" s="92">
        <v>-1298</v>
      </c>
      <c r="I19" s="92">
        <v>-6346</v>
      </c>
      <c r="J19" s="76"/>
      <c r="K19" s="76"/>
      <c r="L19" s="92">
        <v>1112</v>
      </c>
      <c r="M19" s="92">
        <v>4107</v>
      </c>
      <c r="N19" s="76"/>
      <c r="O19" s="76"/>
      <c r="P19" s="91">
        <v>88</v>
      </c>
      <c r="Q19" s="91">
        <v>161.77000000000001</v>
      </c>
      <c r="R19" s="92">
        <v>433.52</v>
      </c>
      <c r="S19" s="92">
        <v>1235.8</v>
      </c>
      <c r="T19" s="92">
        <v>205</v>
      </c>
      <c r="U19" s="92">
        <v>1286</v>
      </c>
      <c r="V19" s="92">
        <v>-1025</v>
      </c>
      <c r="W19" s="92">
        <v>-4350</v>
      </c>
      <c r="X19" s="92">
        <v>6518</v>
      </c>
      <c r="Y19" s="92">
        <v>18339</v>
      </c>
      <c r="Z19" s="92">
        <v>3208</v>
      </c>
      <c r="AA19" s="92">
        <v>9558</v>
      </c>
      <c r="AB19" s="92">
        <v>173</v>
      </c>
      <c r="AC19" s="92">
        <v>234</v>
      </c>
      <c r="AD19" s="92">
        <v>48</v>
      </c>
      <c r="AE19" s="92">
        <v>468</v>
      </c>
      <c r="AF19" s="92">
        <v>-326.83</v>
      </c>
      <c r="AG19" s="92">
        <v>-1363.44</v>
      </c>
      <c r="AH19" s="76"/>
      <c r="AI19" s="76"/>
      <c r="AJ19" s="76"/>
      <c r="AK19" s="76"/>
      <c r="AL19" s="92">
        <v>1963.13</v>
      </c>
      <c r="AM19" s="92">
        <v>6762.68</v>
      </c>
      <c r="AN19" s="76"/>
      <c r="AO19" s="76"/>
      <c r="AP19" s="92"/>
      <c r="AQ19" s="92">
        <v>0</v>
      </c>
      <c r="AR19" s="76">
        <v>2958</v>
      </c>
      <c r="AS19" s="76">
        <v>7651</v>
      </c>
      <c r="AT19" s="92">
        <v>415</v>
      </c>
      <c r="AU19" s="92">
        <v>1545</v>
      </c>
      <c r="AV19" s="92">
        <v>437</v>
      </c>
      <c r="AW19" s="92">
        <v>694</v>
      </c>
      <c r="AX19" s="92">
        <v>30</v>
      </c>
      <c r="AY19" s="92">
        <v>91</v>
      </c>
      <c r="AZ19" s="76"/>
      <c r="BA19" s="76"/>
      <c r="BB19" s="92">
        <v>4611</v>
      </c>
      <c r="BC19" s="92">
        <v>9451</v>
      </c>
      <c r="BD19" s="92">
        <v>11397</v>
      </c>
      <c r="BE19" s="92">
        <v>32486</v>
      </c>
      <c r="BF19" s="92">
        <v>6026</v>
      </c>
      <c r="BG19" s="92">
        <v>15605</v>
      </c>
      <c r="BH19" s="92">
        <v>4670</v>
      </c>
      <c r="BI19" s="92">
        <v>11806</v>
      </c>
      <c r="BJ19" s="92">
        <v>1145</v>
      </c>
      <c r="BK19" s="92">
        <v>3148</v>
      </c>
      <c r="BL19" s="68">
        <f t="shared" si="2"/>
        <v>42787.82</v>
      </c>
      <c r="BM19" s="68">
        <f t="shared" si="3"/>
        <v>112569.81</v>
      </c>
    </row>
    <row r="20" spans="1:65" s="7" customFormat="1" x14ac:dyDescent="0.25">
      <c r="A20" s="10" t="s">
        <v>282</v>
      </c>
      <c r="B20" s="10"/>
      <c r="C20" s="10"/>
      <c r="D20" s="10"/>
      <c r="E20" s="10"/>
      <c r="F20" s="10"/>
      <c r="G20" s="10"/>
      <c r="H20" s="10">
        <v>2943</v>
      </c>
      <c r="I20" s="10">
        <v>9574</v>
      </c>
      <c r="J20" s="10"/>
      <c r="K20" s="10"/>
      <c r="L20" s="10">
        <v>901</v>
      </c>
      <c r="M20" s="10">
        <v>2754</v>
      </c>
      <c r="N20" s="10"/>
      <c r="O20" s="10"/>
      <c r="P20" s="131">
        <v>9.2100000000000009</v>
      </c>
      <c r="Q20" s="131">
        <v>15.92</v>
      </c>
      <c r="R20" s="10">
        <v>1453.49</v>
      </c>
      <c r="S20" s="10">
        <v>5170.1000000000004</v>
      </c>
      <c r="T20" s="10">
        <v>13</v>
      </c>
      <c r="U20" s="10">
        <v>66</v>
      </c>
      <c r="V20" s="10">
        <v>3073</v>
      </c>
      <c r="W20" s="10">
        <v>9973</v>
      </c>
      <c r="X20" s="10">
        <v>8597</v>
      </c>
      <c r="Y20" s="10">
        <v>30095</v>
      </c>
      <c r="Z20" s="10">
        <v>2524</v>
      </c>
      <c r="AA20" s="10">
        <v>9001</v>
      </c>
      <c r="AB20" s="10">
        <v>33</v>
      </c>
      <c r="AC20" s="10">
        <v>44</v>
      </c>
      <c r="AD20" s="10">
        <v>851</v>
      </c>
      <c r="AE20" s="10">
        <v>2478</v>
      </c>
      <c r="AF20" s="10">
        <v>18.829999999999998</v>
      </c>
      <c r="AG20" s="10">
        <v>82.69</v>
      </c>
      <c r="AH20" s="10"/>
      <c r="AI20" s="10"/>
      <c r="AJ20" s="10"/>
      <c r="AK20" s="10"/>
      <c r="AL20" s="10">
        <v>3246.6</v>
      </c>
      <c r="AM20" s="10">
        <v>9895.33</v>
      </c>
      <c r="AN20" s="10"/>
      <c r="AO20" s="10"/>
      <c r="AP20" s="10"/>
      <c r="AQ20" s="10">
        <v>1</v>
      </c>
      <c r="AR20" s="10">
        <v>384</v>
      </c>
      <c r="AS20" s="10">
        <v>1572</v>
      </c>
      <c r="AT20" s="10">
        <v>596</v>
      </c>
      <c r="AU20" s="10">
        <v>1870</v>
      </c>
      <c r="AV20" s="10">
        <v>1166</v>
      </c>
      <c r="AW20" s="10">
        <v>2017</v>
      </c>
      <c r="AX20" s="10">
        <v>8</v>
      </c>
      <c r="AY20" s="10">
        <v>29</v>
      </c>
      <c r="AZ20" s="10"/>
      <c r="BA20" s="10"/>
      <c r="BB20" s="10">
        <v>10907</v>
      </c>
      <c r="BC20" s="10">
        <v>33422</v>
      </c>
      <c r="BD20" s="10">
        <v>12865</v>
      </c>
      <c r="BE20" s="10">
        <v>36315</v>
      </c>
      <c r="BF20" s="10">
        <v>5241</v>
      </c>
      <c r="BG20" s="10">
        <v>17326</v>
      </c>
      <c r="BH20" s="10">
        <v>5620</v>
      </c>
      <c r="BI20" s="10">
        <v>16219</v>
      </c>
      <c r="BJ20" s="10">
        <v>72</v>
      </c>
      <c r="BK20" s="10">
        <v>350</v>
      </c>
      <c r="BL20" s="63">
        <f t="shared" si="2"/>
        <v>60522.130000000005</v>
      </c>
      <c r="BM20" s="63">
        <f t="shared" si="3"/>
        <v>188270.04</v>
      </c>
    </row>
    <row r="21" spans="1:65" x14ac:dyDescent="0.25">
      <c r="A21" s="92" t="s">
        <v>283</v>
      </c>
      <c r="B21" s="92"/>
      <c r="C21" s="92"/>
      <c r="D21" s="92"/>
      <c r="E21" s="92"/>
      <c r="F21" s="92"/>
      <c r="G21" s="92"/>
      <c r="H21" s="92">
        <v>4352</v>
      </c>
      <c r="I21" s="92">
        <v>3029</v>
      </c>
      <c r="J21" s="92"/>
      <c r="K21" s="92"/>
      <c r="L21" s="92">
        <v>1315</v>
      </c>
      <c r="M21" s="92">
        <v>1171</v>
      </c>
      <c r="N21" s="92"/>
      <c r="O21" s="92"/>
      <c r="P21" s="91">
        <v>3.96</v>
      </c>
      <c r="Q21" s="91">
        <v>21.61</v>
      </c>
      <c r="R21" s="92">
        <v>2306.25</v>
      </c>
      <c r="S21" s="92">
        <v>1682.61</v>
      </c>
      <c r="T21" s="92">
        <v>44</v>
      </c>
      <c r="U21" s="92">
        <v>38</v>
      </c>
      <c r="V21" s="92">
        <v>4380</v>
      </c>
      <c r="W21" s="92">
        <v>3246</v>
      </c>
      <c r="X21" s="92">
        <v>11735</v>
      </c>
      <c r="Y21" s="92">
        <v>6572</v>
      </c>
      <c r="Z21" s="92">
        <v>0</v>
      </c>
      <c r="AA21" s="92">
        <v>2967</v>
      </c>
      <c r="AB21" s="92">
        <v>11</v>
      </c>
      <c r="AC21" s="92">
        <v>2</v>
      </c>
      <c r="AD21" s="92">
        <v>1177</v>
      </c>
      <c r="AE21" s="92">
        <v>947</v>
      </c>
      <c r="AF21" s="92">
        <v>35.450000000000003</v>
      </c>
      <c r="AG21" s="92">
        <v>33.840000000000003</v>
      </c>
      <c r="AH21" s="92"/>
      <c r="AI21" s="92"/>
      <c r="AJ21" s="92"/>
      <c r="AK21" s="92"/>
      <c r="AL21" s="92">
        <v>10260.77</v>
      </c>
      <c r="AM21" s="92">
        <v>7792.75</v>
      </c>
      <c r="AN21" s="92"/>
      <c r="AO21" s="92"/>
      <c r="AP21" s="92">
        <v>1</v>
      </c>
      <c r="AQ21" s="92">
        <v>1</v>
      </c>
      <c r="AR21" s="92">
        <v>717</v>
      </c>
      <c r="AS21" s="92">
        <v>336</v>
      </c>
      <c r="AT21" s="92">
        <v>1113</v>
      </c>
      <c r="AU21" s="92">
        <v>947</v>
      </c>
      <c r="AV21" s="92">
        <v>2006</v>
      </c>
      <c r="AW21" s="92">
        <v>848</v>
      </c>
      <c r="AX21" s="92">
        <v>20</v>
      </c>
      <c r="AY21" s="92">
        <v>37</v>
      </c>
      <c r="AZ21" s="92"/>
      <c r="BA21" s="92"/>
      <c r="BB21" s="92">
        <v>15930</v>
      </c>
      <c r="BC21" s="92">
        <v>12422</v>
      </c>
      <c r="BD21" s="92">
        <v>24067</v>
      </c>
      <c r="BE21" s="92">
        <v>23801</v>
      </c>
      <c r="BF21" s="92">
        <v>0</v>
      </c>
      <c r="BG21" s="92">
        <v>0</v>
      </c>
      <c r="BH21" s="92">
        <v>13575</v>
      </c>
      <c r="BI21" s="92">
        <v>12846</v>
      </c>
      <c r="BJ21" s="92">
        <v>234</v>
      </c>
      <c r="BK21" s="92">
        <v>202</v>
      </c>
      <c r="BL21" s="68">
        <f t="shared" si="2"/>
        <v>93283.43</v>
      </c>
      <c r="BM21" s="68">
        <f t="shared" si="3"/>
        <v>78942.81</v>
      </c>
    </row>
    <row r="22" spans="1:65" x14ac:dyDescent="0.25">
      <c r="A22" s="2" t="s">
        <v>284</v>
      </c>
      <c r="B22" s="92"/>
      <c r="C22" s="92"/>
      <c r="D22" s="92"/>
      <c r="E22" s="92"/>
      <c r="F22" s="92"/>
      <c r="G22" s="92"/>
      <c r="H22" s="92">
        <v>4003</v>
      </c>
      <c r="I22" s="92">
        <v>4003</v>
      </c>
      <c r="J22" s="92"/>
      <c r="K22" s="92"/>
      <c r="L22" s="92">
        <v>1342</v>
      </c>
      <c r="M22" s="92">
        <v>1342</v>
      </c>
      <c r="N22" s="92"/>
      <c r="O22" s="92"/>
      <c r="P22" s="91">
        <v>7.92</v>
      </c>
      <c r="Q22" s="91">
        <v>7.92</v>
      </c>
      <c r="R22" s="92">
        <v>2091.7800000000002</v>
      </c>
      <c r="S22" s="92">
        <v>2091.7800000000002</v>
      </c>
      <c r="T22" s="92">
        <v>33</v>
      </c>
      <c r="U22" s="92">
        <v>33</v>
      </c>
      <c r="V22" s="92">
        <v>-4313</v>
      </c>
      <c r="W22" s="92">
        <v>-4313</v>
      </c>
      <c r="X22" s="92">
        <v>10735</v>
      </c>
      <c r="Y22" s="92">
        <v>10735</v>
      </c>
      <c r="Z22" s="92">
        <v>-113</v>
      </c>
      <c r="AA22" s="92">
        <v>4489</v>
      </c>
      <c r="AB22" s="92">
        <v>39</v>
      </c>
      <c r="AC22" s="92">
        <v>39</v>
      </c>
      <c r="AD22" s="92">
        <v>1097</v>
      </c>
      <c r="AE22" s="92">
        <v>1097</v>
      </c>
      <c r="AF22" s="92">
        <v>-34.76</v>
      </c>
      <c r="AG22" s="92">
        <v>-34.76</v>
      </c>
      <c r="AH22" s="92"/>
      <c r="AI22" s="92"/>
      <c r="AJ22" s="92"/>
      <c r="AK22" s="92"/>
      <c r="AL22" s="92">
        <v>8134.49</v>
      </c>
      <c r="AM22" s="92">
        <v>8134.49</v>
      </c>
      <c r="AN22" s="92"/>
      <c r="AO22" s="92"/>
      <c r="AP22" s="92">
        <v>1</v>
      </c>
      <c r="AQ22" s="92">
        <v>1</v>
      </c>
      <c r="AR22" s="92">
        <v>623</v>
      </c>
      <c r="AS22" s="92">
        <v>623</v>
      </c>
      <c r="AT22" s="92">
        <v>1167</v>
      </c>
      <c r="AU22" s="92">
        <v>1167</v>
      </c>
      <c r="AV22" s="92">
        <v>2130</v>
      </c>
      <c r="AW22" s="92">
        <v>1361</v>
      </c>
      <c r="AX22" s="92">
        <v>16</v>
      </c>
      <c r="AY22" s="92">
        <v>16</v>
      </c>
      <c r="AZ22" s="92"/>
      <c r="BA22" s="92"/>
      <c r="BB22" s="92">
        <v>16240</v>
      </c>
      <c r="BC22" s="92">
        <v>16240</v>
      </c>
      <c r="BD22" s="92">
        <v>23043</v>
      </c>
      <c r="BE22" s="92">
        <v>23043</v>
      </c>
      <c r="BF22" s="92">
        <v>169</v>
      </c>
      <c r="BG22" s="92">
        <v>1426</v>
      </c>
      <c r="BH22" s="92">
        <v>13628</v>
      </c>
      <c r="BI22" s="92">
        <v>13628</v>
      </c>
      <c r="BJ22" s="92">
        <v>-192</v>
      </c>
      <c r="BK22" s="92">
        <v>-192</v>
      </c>
      <c r="BL22" s="68">
        <f t="shared" si="2"/>
        <v>79847.429999999993</v>
      </c>
      <c r="BM22" s="68">
        <f t="shared" si="3"/>
        <v>84937.43</v>
      </c>
    </row>
    <row r="23" spans="1:65" s="7" customFormat="1" x14ac:dyDescent="0.25">
      <c r="A23" s="10" t="s">
        <v>192</v>
      </c>
      <c r="B23" s="10"/>
      <c r="C23" s="10"/>
      <c r="D23" s="10"/>
      <c r="E23" s="10"/>
      <c r="F23" s="10"/>
      <c r="G23" s="10"/>
      <c r="H23" s="10">
        <v>3292</v>
      </c>
      <c r="I23" s="10">
        <v>8601</v>
      </c>
      <c r="J23" s="10"/>
      <c r="K23" s="10"/>
      <c r="L23" s="10">
        <v>874</v>
      </c>
      <c r="M23" s="10">
        <v>2583</v>
      </c>
      <c r="N23" s="10"/>
      <c r="O23" s="10"/>
      <c r="P23" s="131">
        <v>5.25</v>
      </c>
      <c r="Q23" s="131">
        <v>29.61</v>
      </c>
      <c r="R23" s="10">
        <v>1667.96</v>
      </c>
      <c r="S23" s="10">
        <v>4760.93</v>
      </c>
      <c r="T23" s="10">
        <v>24</v>
      </c>
      <c r="U23" s="10">
        <v>71</v>
      </c>
      <c r="V23" s="10">
        <v>3140</v>
      </c>
      <c r="W23" s="10">
        <v>8907</v>
      </c>
      <c r="X23" s="10">
        <v>9597</v>
      </c>
      <c r="Y23" s="10">
        <v>27315</v>
      </c>
      <c r="Z23" s="10">
        <v>2637</v>
      </c>
      <c r="AA23" s="10">
        <v>7479</v>
      </c>
      <c r="AB23" s="10">
        <v>4</v>
      </c>
      <c r="AC23" s="10">
        <v>6</v>
      </c>
      <c r="AD23" s="10">
        <v>931</v>
      </c>
      <c r="AE23" s="10">
        <v>2328</v>
      </c>
      <c r="AF23" s="10">
        <v>19.52</v>
      </c>
      <c r="AG23" s="10">
        <v>81.77</v>
      </c>
      <c r="AH23" s="10"/>
      <c r="AI23" s="10"/>
      <c r="AJ23" s="10"/>
      <c r="AK23" s="10"/>
      <c r="AL23" s="10">
        <v>5372.87</v>
      </c>
      <c r="AM23" s="10">
        <v>9553.58</v>
      </c>
      <c r="AN23" s="10"/>
      <c r="AO23" s="10"/>
      <c r="AP23" s="10">
        <v>0</v>
      </c>
      <c r="AQ23" s="10">
        <v>1</v>
      </c>
      <c r="AR23" s="10">
        <v>478</v>
      </c>
      <c r="AS23" s="10">
        <v>1285</v>
      </c>
      <c r="AT23" s="10">
        <v>541</v>
      </c>
      <c r="AU23" s="10">
        <v>1649</v>
      </c>
      <c r="AV23" s="10">
        <v>1042</v>
      </c>
      <c r="AW23" s="10">
        <v>1504</v>
      </c>
      <c r="AX23" s="10">
        <v>12</v>
      </c>
      <c r="AY23" s="10">
        <v>50</v>
      </c>
      <c r="AZ23" s="10"/>
      <c r="BA23" s="10"/>
      <c r="BB23" s="10">
        <v>10597</v>
      </c>
      <c r="BC23" s="10">
        <v>29605</v>
      </c>
      <c r="BD23" s="10">
        <v>13889</v>
      </c>
      <c r="BE23" s="10">
        <v>37074</v>
      </c>
      <c r="BF23" s="10">
        <v>5072</v>
      </c>
      <c r="BG23" s="10">
        <v>15900</v>
      </c>
      <c r="BH23" s="10">
        <v>5567</v>
      </c>
      <c r="BI23" s="10">
        <v>15437</v>
      </c>
      <c r="BJ23" s="10">
        <v>114</v>
      </c>
      <c r="BK23" s="10">
        <v>359</v>
      </c>
      <c r="BL23" s="63">
        <f t="shared" si="2"/>
        <v>64876.6</v>
      </c>
      <c r="BM23" s="63">
        <f t="shared" si="3"/>
        <v>174579.89</v>
      </c>
    </row>
    <row r="25" spans="1:65" x14ac:dyDescent="0.25">
      <c r="A25" s="23" t="s">
        <v>184</v>
      </c>
    </row>
    <row r="26" spans="1:65" x14ac:dyDescent="0.25">
      <c r="A26" s="1" t="s">
        <v>0</v>
      </c>
      <c r="B26" s="153" t="s">
        <v>1</v>
      </c>
      <c r="C26" s="154"/>
      <c r="D26" s="153" t="s">
        <v>234</v>
      </c>
      <c r="E26" s="154"/>
      <c r="F26" s="153" t="s">
        <v>2</v>
      </c>
      <c r="G26" s="154"/>
      <c r="H26" s="153" t="s">
        <v>3</v>
      </c>
      <c r="I26" s="154"/>
      <c r="J26" s="153" t="s">
        <v>243</v>
      </c>
      <c r="K26" s="154"/>
      <c r="L26" s="153" t="s">
        <v>235</v>
      </c>
      <c r="M26" s="154"/>
      <c r="N26" s="153" t="s">
        <v>5</v>
      </c>
      <c r="O26" s="154"/>
      <c r="P26" s="153" t="s">
        <v>4</v>
      </c>
      <c r="Q26" s="154"/>
      <c r="R26" s="153" t="s">
        <v>6</v>
      </c>
      <c r="S26" s="154"/>
      <c r="T26" s="153" t="s">
        <v>246</v>
      </c>
      <c r="U26" s="154"/>
      <c r="V26" s="153" t="s">
        <v>7</v>
      </c>
      <c r="W26" s="154"/>
      <c r="X26" s="153" t="s">
        <v>8</v>
      </c>
      <c r="Y26" s="154"/>
      <c r="Z26" s="153" t="s">
        <v>9</v>
      </c>
      <c r="AA26" s="154"/>
      <c r="AB26" s="153" t="s">
        <v>242</v>
      </c>
      <c r="AC26" s="154"/>
      <c r="AD26" s="153" t="s">
        <v>10</v>
      </c>
      <c r="AE26" s="154"/>
      <c r="AF26" s="153" t="s">
        <v>11</v>
      </c>
      <c r="AG26" s="154"/>
      <c r="AH26" s="153" t="s">
        <v>236</v>
      </c>
      <c r="AI26" s="154"/>
      <c r="AJ26" s="153" t="s">
        <v>245</v>
      </c>
      <c r="AK26" s="154"/>
      <c r="AL26" s="153" t="s">
        <v>12</v>
      </c>
      <c r="AM26" s="154"/>
      <c r="AN26" s="153" t="s">
        <v>237</v>
      </c>
      <c r="AO26" s="154"/>
      <c r="AP26" s="153" t="s">
        <v>238</v>
      </c>
      <c r="AQ26" s="154"/>
      <c r="AR26" s="153" t="s">
        <v>241</v>
      </c>
      <c r="AS26" s="154"/>
      <c r="AT26" s="153" t="s">
        <v>13</v>
      </c>
      <c r="AU26" s="154"/>
      <c r="AV26" s="153" t="s">
        <v>14</v>
      </c>
      <c r="AW26" s="154"/>
      <c r="AX26" s="153" t="s">
        <v>15</v>
      </c>
      <c r="AY26" s="154"/>
      <c r="AZ26" s="153" t="s">
        <v>16</v>
      </c>
      <c r="BA26" s="154"/>
      <c r="BB26" s="153" t="s">
        <v>17</v>
      </c>
      <c r="BC26" s="154"/>
      <c r="BD26" s="153" t="s">
        <v>239</v>
      </c>
      <c r="BE26" s="154"/>
      <c r="BF26" s="153" t="s">
        <v>240</v>
      </c>
      <c r="BG26" s="154"/>
      <c r="BH26" s="153" t="s">
        <v>18</v>
      </c>
      <c r="BI26" s="154"/>
      <c r="BJ26" s="153" t="s">
        <v>19</v>
      </c>
      <c r="BK26" s="154"/>
      <c r="BL26" s="155" t="s">
        <v>20</v>
      </c>
      <c r="BM26" s="156"/>
    </row>
    <row r="27" spans="1:65" ht="30" x14ac:dyDescent="0.25">
      <c r="A27" s="1"/>
      <c r="B27" s="53" t="s">
        <v>303</v>
      </c>
      <c r="C27" s="54" t="s">
        <v>302</v>
      </c>
      <c r="D27" s="53" t="s">
        <v>303</v>
      </c>
      <c r="E27" s="54" t="s">
        <v>302</v>
      </c>
      <c r="F27" s="53" t="s">
        <v>303</v>
      </c>
      <c r="G27" s="54" t="s">
        <v>302</v>
      </c>
      <c r="H27" s="53" t="s">
        <v>303</v>
      </c>
      <c r="I27" s="54" t="s">
        <v>302</v>
      </c>
      <c r="J27" s="53" t="s">
        <v>303</v>
      </c>
      <c r="K27" s="54" t="s">
        <v>302</v>
      </c>
      <c r="L27" s="53" t="s">
        <v>303</v>
      </c>
      <c r="M27" s="54" t="s">
        <v>302</v>
      </c>
      <c r="N27" s="53" t="s">
        <v>303</v>
      </c>
      <c r="O27" s="54" t="s">
        <v>302</v>
      </c>
      <c r="P27" s="53" t="s">
        <v>303</v>
      </c>
      <c r="Q27" s="54" t="s">
        <v>302</v>
      </c>
      <c r="R27" s="53" t="s">
        <v>303</v>
      </c>
      <c r="S27" s="54" t="s">
        <v>302</v>
      </c>
      <c r="T27" s="53" t="s">
        <v>303</v>
      </c>
      <c r="U27" s="54" t="s">
        <v>302</v>
      </c>
      <c r="V27" s="53" t="s">
        <v>303</v>
      </c>
      <c r="W27" s="54" t="s">
        <v>302</v>
      </c>
      <c r="X27" s="53" t="s">
        <v>303</v>
      </c>
      <c r="Y27" s="54" t="s">
        <v>302</v>
      </c>
      <c r="Z27" s="53" t="s">
        <v>303</v>
      </c>
      <c r="AA27" s="54" t="s">
        <v>302</v>
      </c>
      <c r="AB27" s="53" t="s">
        <v>303</v>
      </c>
      <c r="AC27" s="54" t="s">
        <v>302</v>
      </c>
      <c r="AD27" s="53" t="s">
        <v>303</v>
      </c>
      <c r="AE27" s="54" t="s">
        <v>302</v>
      </c>
      <c r="AF27" s="53" t="s">
        <v>303</v>
      </c>
      <c r="AG27" s="54" t="s">
        <v>302</v>
      </c>
      <c r="AH27" s="53" t="s">
        <v>303</v>
      </c>
      <c r="AI27" s="54" t="s">
        <v>302</v>
      </c>
      <c r="AJ27" s="53" t="s">
        <v>303</v>
      </c>
      <c r="AK27" s="54" t="s">
        <v>302</v>
      </c>
      <c r="AL27" s="53" t="s">
        <v>303</v>
      </c>
      <c r="AM27" s="54" t="s">
        <v>302</v>
      </c>
      <c r="AN27" s="53" t="s">
        <v>303</v>
      </c>
      <c r="AO27" s="54" t="s">
        <v>302</v>
      </c>
      <c r="AP27" s="53" t="s">
        <v>303</v>
      </c>
      <c r="AQ27" s="54" t="s">
        <v>302</v>
      </c>
      <c r="AR27" s="53" t="s">
        <v>303</v>
      </c>
      <c r="AS27" s="54" t="s">
        <v>302</v>
      </c>
      <c r="AT27" s="53" t="s">
        <v>303</v>
      </c>
      <c r="AU27" s="54" t="s">
        <v>302</v>
      </c>
      <c r="AV27" s="53" t="s">
        <v>303</v>
      </c>
      <c r="AW27" s="54" t="s">
        <v>302</v>
      </c>
      <c r="AX27" s="53" t="s">
        <v>303</v>
      </c>
      <c r="AY27" s="54" t="s">
        <v>302</v>
      </c>
      <c r="AZ27" s="53" t="s">
        <v>303</v>
      </c>
      <c r="BA27" s="54" t="s">
        <v>302</v>
      </c>
      <c r="BB27" s="53" t="s">
        <v>303</v>
      </c>
      <c r="BC27" s="54" t="s">
        <v>302</v>
      </c>
      <c r="BD27" s="53" t="s">
        <v>303</v>
      </c>
      <c r="BE27" s="54" t="s">
        <v>302</v>
      </c>
      <c r="BF27" s="53" t="s">
        <v>303</v>
      </c>
      <c r="BG27" s="54" t="s">
        <v>302</v>
      </c>
      <c r="BH27" s="53" t="s">
        <v>303</v>
      </c>
      <c r="BI27" s="54" t="s">
        <v>302</v>
      </c>
      <c r="BJ27" s="53" t="s">
        <v>303</v>
      </c>
      <c r="BK27" s="54" t="s">
        <v>302</v>
      </c>
      <c r="BL27" s="105" t="s">
        <v>303</v>
      </c>
      <c r="BM27" s="106" t="s">
        <v>302</v>
      </c>
    </row>
    <row r="28" spans="1:65" x14ac:dyDescent="0.25">
      <c r="A28" s="92" t="s">
        <v>279</v>
      </c>
      <c r="B28" s="92">
        <v>15654</v>
      </c>
      <c r="C28" s="92">
        <v>36180</v>
      </c>
      <c r="D28" s="76"/>
      <c r="E28" s="76"/>
      <c r="F28" s="76"/>
      <c r="G28" s="76"/>
      <c r="H28" s="92">
        <v>140227</v>
      </c>
      <c r="I28" s="92">
        <v>347478</v>
      </c>
      <c r="J28" s="76"/>
      <c r="K28" s="76"/>
      <c r="L28" s="92">
        <v>97878</v>
      </c>
      <c r="M28" s="92">
        <v>244214</v>
      </c>
      <c r="N28" s="76"/>
      <c r="O28" s="76"/>
      <c r="P28" s="91">
        <v>6338.13</v>
      </c>
      <c r="Q28" s="91">
        <v>13826.16</v>
      </c>
      <c r="R28" s="92">
        <v>40922.99</v>
      </c>
      <c r="S28" s="92">
        <v>112421.75</v>
      </c>
      <c r="T28" s="92">
        <v>95709</v>
      </c>
      <c r="U28" s="92">
        <v>200240</v>
      </c>
      <c r="V28" s="92">
        <v>104185</v>
      </c>
      <c r="W28" s="92">
        <v>256755</v>
      </c>
      <c r="X28" s="92">
        <v>256905</v>
      </c>
      <c r="Y28" s="92">
        <v>581486</v>
      </c>
      <c r="Z28" s="92">
        <v>111810</v>
      </c>
      <c r="AA28" s="92">
        <v>268991</v>
      </c>
      <c r="AB28" s="92">
        <v>12962</v>
      </c>
      <c r="AC28" s="92">
        <v>25934</v>
      </c>
      <c r="AD28" s="92">
        <v>29333</v>
      </c>
      <c r="AE28" s="92">
        <v>70341</v>
      </c>
      <c r="AF28" s="92">
        <v>38359.47</v>
      </c>
      <c r="AG28" s="92">
        <v>90079.039999999994</v>
      </c>
      <c r="AH28" s="76"/>
      <c r="AI28" s="76"/>
      <c r="AJ28" s="76"/>
      <c r="AK28" s="76"/>
      <c r="AL28" s="92">
        <v>128494.21</v>
      </c>
      <c r="AM28" s="92">
        <v>341991.38</v>
      </c>
      <c r="AN28" s="92">
        <v>1437</v>
      </c>
      <c r="AO28" s="92">
        <v>3298</v>
      </c>
      <c r="AP28" s="92">
        <v>6499</v>
      </c>
      <c r="AQ28" s="92">
        <v>19903</v>
      </c>
      <c r="AR28" s="76">
        <v>106366</v>
      </c>
      <c r="AS28" s="76">
        <v>264685</v>
      </c>
      <c r="AT28" s="92">
        <v>54178</v>
      </c>
      <c r="AU28" s="92">
        <v>141853</v>
      </c>
      <c r="AV28" s="92">
        <v>75203</v>
      </c>
      <c r="AW28" s="92">
        <v>171219</v>
      </c>
      <c r="AX28" s="92">
        <v>45358</v>
      </c>
      <c r="AY28" s="92">
        <v>117874</v>
      </c>
      <c r="AZ28" s="76"/>
      <c r="BA28" s="76"/>
      <c r="BB28" s="92">
        <v>146005</v>
      </c>
      <c r="BC28" s="92">
        <v>354879</v>
      </c>
      <c r="BD28" s="92">
        <v>67183</v>
      </c>
      <c r="BE28" s="92">
        <v>680794</v>
      </c>
      <c r="BF28" s="92">
        <v>99266</v>
      </c>
      <c r="BG28" s="92">
        <v>250397</v>
      </c>
      <c r="BH28" s="92">
        <v>154120</v>
      </c>
      <c r="BI28" s="92">
        <v>394278</v>
      </c>
      <c r="BJ28" s="92">
        <v>43869</v>
      </c>
      <c r="BK28" s="92">
        <v>88069</v>
      </c>
      <c r="BL28" s="68">
        <f t="shared" ref="BL28:BL34" si="4">SUM(B28+D28+F28+H28+J28+L28+N28+P28+R28+T28+V28+X28+Z28+AB28+AD28+AF28+AH28+AJ28+AL28+AN28+AP28+AR28+AT28+AV28+AX28+AZ28+BB28+BD28+BF28+BH28+BJ28)</f>
        <v>1878261.8</v>
      </c>
      <c r="BM28" s="68">
        <f t="shared" ref="BM28:BM34" si="5">SUM(C28+E28+G28+I28+K28+M28+O28+Q28+S28+U28+W28+Y28+AA28+AC28+AE28+AG28+AI28+AK28+AM28+AO28+AQ28+AS28+AU28+AW28+AY28+BA28+BC28+BE28+BG28+BI28+BK28)</f>
        <v>5077186.33</v>
      </c>
    </row>
    <row r="29" spans="1:65" x14ac:dyDescent="0.25">
      <c r="A29" s="92" t="s">
        <v>280</v>
      </c>
      <c r="B29" s="92"/>
      <c r="C29" s="92"/>
      <c r="D29" s="76"/>
      <c r="E29" s="76"/>
      <c r="F29" s="76"/>
      <c r="G29" s="76"/>
      <c r="H29" s="92"/>
      <c r="I29" s="92"/>
      <c r="J29" s="76"/>
      <c r="K29" s="76"/>
      <c r="L29" s="92"/>
      <c r="M29" s="92"/>
      <c r="N29" s="76"/>
      <c r="O29" s="76"/>
      <c r="P29" s="91"/>
      <c r="Q29" s="91"/>
      <c r="R29" s="92"/>
      <c r="S29" s="92"/>
      <c r="T29" s="92">
        <v>1662</v>
      </c>
      <c r="U29" s="92">
        <v>21886</v>
      </c>
      <c r="V29" s="92"/>
      <c r="W29" s="92"/>
      <c r="X29" s="92">
        <v>-23</v>
      </c>
      <c r="Y29" s="92">
        <v>-334</v>
      </c>
      <c r="Z29" s="92"/>
      <c r="AA29" s="92"/>
      <c r="AB29" s="92"/>
      <c r="AC29" s="92"/>
      <c r="AD29" s="92"/>
      <c r="AE29" s="92"/>
      <c r="AF29" s="92"/>
      <c r="AG29" s="92"/>
      <c r="AH29" s="76"/>
      <c r="AI29" s="76"/>
      <c r="AJ29" s="76"/>
      <c r="AK29" s="76"/>
      <c r="AL29" s="92">
        <v>14.09</v>
      </c>
      <c r="AM29" s="92">
        <v>75.97</v>
      </c>
      <c r="AN29" s="92"/>
      <c r="AO29" s="92"/>
      <c r="AP29" s="92"/>
      <c r="AQ29" s="92"/>
      <c r="AR29" s="76"/>
      <c r="AS29" s="76"/>
      <c r="AT29" s="92"/>
      <c r="AU29" s="92"/>
      <c r="AV29" s="92"/>
      <c r="AW29" s="92"/>
      <c r="AX29" s="92"/>
      <c r="AY29" s="92"/>
      <c r="AZ29" s="76"/>
      <c r="BA29" s="76"/>
      <c r="BB29" s="92">
        <v>13941</v>
      </c>
      <c r="BC29" s="92">
        <v>14885</v>
      </c>
      <c r="BD29" s="92">
        <v>1618</v>
      </c>
      <c r="BE29" s="92">
        <v>607</v>
      </c>
      <c r="BF29" s="92">
        <v>12</v>
      </c>
      <c r="BG29" s="92">
        <v>184</v>
      </c>
      <c r="BH29" s="92">
        <v>0</v>
      </c>
      <c r="BI29" s="92">
        <v>0</v>
      </c>
      <c r="BJ29" s="92"/>
      <c r="BK29" s="92"/>
      <c r="BL29" s="68">
        <f t="shared" si="4"/>
        <v>17224.09</v>
      </c>
      <c r="BM29" s="68">
        <f t="shared" si="5"/>
        <v>37303.97</v>
      </c>
    </row>
    <row r="30" spans="1:65" x14ac:dyDescent="0.25">
      <c r="A30" s="92" t="s">
        <v>281</v>
      </c>
      <c r="B30" s="92">
        <v>10221</v>
      </c>
      <c r="C30" s="92">
        <v>23658</v>
      </c>
      <c r="D30" s="76"/>
      <c r="E30" s="76"/>
      <c r="F30" s="76"/>
      <c r="G30" s="76"/>
      <c r="H30" s="92">
        <v>-14975</v>
      </c>
      <c r="I30" s="92">
        <v>-34425</v>
      </c>
      <c r="J30" s="76"/>
      <c r="K30" s="76"/>
      <c r="L30" s="92">
        <v>17410</v>
      </c>
      <c r="M30" s="92">
        <v>43522</v>
      </c>
      <c r="N30" s="76"/>
      <c r="O30" s="76"/>
      <c r="P30" s="91">
        <v>2887.21</v>
      </c>
      <c r="Q30" s="91">
        <v>3384.38</v>
      </c>
      <c r="R30" s="92">
        <v>2426.54</v>
      </c>
      <c r="S30" s="92">
        <v>6795</v>
      </c>
      <c r="T30" s="92">
        <v>5664</v>
      </c>
      <c r="U30" s="92">
        <v>12197</v>
      </c>
      <c r="V30" s="92">
        <v>-29253</v>
      </c>
      <c r="W30" s="92">
        <v>-71026</v>
      </c>
      <c r="X30" s="92">
        <v>14061</v>
      </c>
      <c r="Y30" s="92">
        <v>33223</v>
      </c>
      <c r="Z30" s="92">
        <v>10733</v>
      </c>
      <c r="AA30" s="92">
        <v>26553</v>
      </c>
      <c r="AB30" s="92">
        <v>2322</v>
      </c>
      <c r="AC30" s="92">
        <v>4617</v>
      </c>
      <c r="AD30" s="92">
        <v>1663</v>
      </c>
      <c r="AE30" s="92">
        <v>4241</v>
      </c>
      <c r="AF30" s="92">
        <v>-10525.97</v>
      </c>
      <c r="AG30" s="92">
        <v>-24521.96</v>
      </c>
      <c r="AH30" s="76"/>
      <c r="AI30" s="76"/>
      <c r="AJ30" s="76"/>
      <c r="AK30" s="76"/>
      <c r="AL30" s="92">
        <v>8254.35</v>
      </c>
      <c r="AM30" s="92">
        <v>21873.25</v>
      </c>
      <c r="AN30" s="92">
        <v>-112</v>
      </c>
      <c r="AO30" s="92">
        <v>-252</v>
      </c>
      <c r="AP30" s="92">
        <v>462</v>
      </c>
      <c r="AQ30" s="92">
        <v>1414</v>
      </c>
      <c r="AR30" s="76">
        <v>24224</v>
      </c>
      <c r="AS30" s="76">
        <v>61145</v>
      </c>
      <c r="AT30" s="92">
        <v>8471</v>
      </c>
      <c r="AU30" s="92">
        <v>22332</v>
      </c>
      <c r="AV30" s="92">
        <v>24157</v>
      </c>
      <c r="AW30" s="92">
        <v>66479</v>
      </c>
      <c r="AX30" s="92">
        <v>2568</v>
      </c>
      <c r="AY30" s="92">
        <v>6685</v>
      </c>
      <c r="AZ30" s="76"/>
      <c r="BA30" s="76"/>
      <c r="BB30" s="92">
        <v>21000</v>
      </c>
      <c r="BC30" s="92">
        <v>50996</v>
      </c>
      <c r="BD30" s="92">
        <v>32486</v>
      </c>
      <c r="BE30" s="92">
        <v>40716</v>
      </c>
      <c r="BF30" s="92">
        <v>5432</v>
      </c>
      <c r="BG30" s="92">
        <v>13421</v>
      </c>
      <c r="BH30" s="92">
        <v>7809</v>
      </c>
      <c r="BI30" s="92">
        <v>20022</v>
      </c>
      <c r="BJ30" s="92">
        <v>11811</v>
      </c>
      <c r="BK30" s="92">
        <v>29242</v>
      </c>
      <c r="BL30" s="68">
        <f t="shared" si="4"/>
        <v>159196.13</v>
      </c>
      <c r="BM30" s="68">
        <f t="shared" si="5"/>
        <v>362290.67</v>
      </c>
    </row>
    <row r="31" spans="1:65" s="7" customFormat="1" x14ac:dyDescent="0.25">
      <c r="A31" s="10" t="s">
        <v>282</v>
      </c>
      <c r="B31" s="10">
        <v>5433</v>
      </c>
      <c r="C31" s="10">
        <v>12522</v>
      </c>
      <c r="D31" s="10"/>
      <c r="E31" s="10"/>
      <c r="F31" s="10"/>
      <c r="G31" s="10"/>
      <c r="H31" s="10">
        <v>125252</v>
      </c>
      <c r="I31" s="10">
        <v>313053</v>
      </c>
      <c r="J31" s="10"/>
      <c r="K31" s="10"/>
      <c r="L31" s="10">
        <v>80468</v>
      </c>
      <c r="M31" s="10">
        <v>200692</v>
      </c>
      <c r="N31" s="10"/>
      <c r="O31" s="10"/>
      <c r="P31" s="131">
        <v>3450.92</v>
      </c>
      <c r="Q31" s="131">
        <v>10441.780000000001</v>
      </c>
      <c r="R31" s="10">
        <v>38496.449999999997</v>
      </c>
      <c r="S31" s="10">
        <v>105626.75</v>
      </c>
      <c r="T31" s="10">
        <v>91707</v>
      </c>
      <c r="U31" s="10">
        <v>209929</v>
      </c>
      <c r="V31" s="10">
        <v>74932</v>
      </c>
      <c r="W31" s="10">
        <v>185729</v>
      </c>
      <c r="X31" s="10">
        <v>242821</v>
      </c>
      <c r="Y31" s="10">
        <v>547929</v>
      </c>
      <c r="Z31" s="10">
        <v>101078</v>
      </c>
      <c r="AA31" s="10">
        <v>242438</v>
      </c>
      <c r="AB31" s="10">
        <v>10639</v>
      </c>
      <c r="AC31" s="10">
        <v>21316</v>
      </c>
      <c r="AD31" s="10">
        <v>27671</v>
      </c>
      <c r="AE31" s="10">
        <v>66100</v>
      </c>
      <c r="AF31" s="10">
        <v>27833.5</v>
      </c>
      <c r="AG31" s="10">
        <v>65557.08</v>
      </c>
      <c r="AH31" s="10"/>
      <c r="AI31" s="10"/>
      <c r="AJ31" s="10"/>
      <c r="AK31" s="10"/>
      <c r="AL31" s="10">
        <v>120253.96</v>
      </c>
      <c r="AM31" s="10">
        <v>320194.09999999998</v>
      </c>
      <c r="AN31" s="10">
        <v>1325</v>
      </c>
      <c r="AO31" s="10">
        <v>3046</v>
      </c>
      <c r="AP31" s="10">
        <v>6037</v>
      </c>
      <c r="AQ31" s="10">
        <v>18488</v>
      </c>
      <c r="AR31" s="10">
        <v>82142</v>
      </c>
      <c r="AS31" s="10">
        <v>203541</v>
      </c>
      <c r="AT31" s="10">
        <v>45707</v>
      </c>
      <c r="AU31" s="10">
        <v>119521</v>
      </c>
      <c r="AV31" s="10">
        <v>51046</v>
      </c>
      <c r="AW31" s="10">
        <v>104740</v>
      </c>
      <c r="AX31" s="10">
        <v>42789</v>
      </c>
      <c r="AY31" s="10">
        <v>111189</v>
      </c>
      <c r="AZ31" s="10"/>
      <c r="BA31" s="10"/>
      <c r="BB31" s="10">
        <v>138946</v>
      </c>
      <c r="BC31" s="10">
        <v>318768</v>
      </c>
      <c r="BD31" s="10">
        <v>36315</v>
      </c>
      <c r="BE31" s="10">
        <v>640686</v>
      </c>
      <c r="BF31" s="10">
        <v>93846</v>
      </c>
      <c r="BG31" s="10">
        <v>237160</v>
      </c>
      <c r="BH31" s="10">
        <v>146312</v>
      </c>
      <c r="BI31" s="10">
        <v>374257</v>
      </c>
      <c r="BJ31" s="10">
        <v>32059</v>
      </c>
      <c r="BK31" s="10">
        <v>58827</v>
      </c>
      <c r="BL31" s="63">
        <f t="shared" si="4"/>
        <v>1626559.83</v>
      </c>
      <c r="BM31" s="63">
        <f t="shared" si="5"/>
        <v>4491750.71</v>
      </c>
    </row>
    <row r="32" spans="1:65" x14ac:dyDescent="0.25">
      <c r="A32" s="92" t="s">
        <v>283</v>
      </c>
      <c r="B32" s="92">
        <v>7579</v>
      </c>
      <c r="C32" s="92">
        <v>6030</v>
      </c>
      <c r="D32" s="92"/>
      <c r="E32" s="92"/>
      <c r="F32" s="92"/>
      <c r="G32" s="92"/>
      <c r="H32" s="92">
        <v>216736</v>
      </c>
      <c r="I32" s="92">
        <v>253263</v>
      </c>
      <c r="J32" s="92"/>
      <c r="K32" s="92"/>
      <c r="L32" s="92">
        <v>132074</v>
      </c>
      <c r="M32" s="92">
        <v>143848</v>
      </c>
      <c r="N32" s="92"/>
      <c r="O32" s="92"/>
      <c r="P32" s="91">
        <v>7312.44</v>
      </c>
      <c r="Q32" s="91">
        <v>6199.45</v>
      </c>
      <c r="R32" s="92">
        <v>71384.240000000005</v>
      </c>
      <c r="S32" s="92">
        <v>71571.08</v>
      </c>
      <c r="T32" s="92">
        <v>133858</v>
      </c>
      <c r="U32" s="92">
        <v>141098</v>
      </c>
      <c r="V32" s="92">
        <v>123868</v>
      </c>
      <c r="W32" s="92">
        <v>140913</v>
      </c>
      <c r="X32" s="92">
        <v>348402</v>
      </c>
      <c r="Y32" s="92">
        <v>368357</v>
      </c>
      <c r="Z32" s="92">
        <v>1</v>
      </c>
      <c r="AA32" s="92">
        <v>183121</v>
      </c>
      <c r="AB32" s="92">
        <v>13011</v>
      </c>
      <c r="AC32" s="92">
        <v>15773</v>
      </c>
      <c r="AD32" s="92">
        <v>44301</v>
      </c>
      <c r="AE32" s="92">
        <v>52241</v>
      </c>
      <c r="AF32" s="92">
        <v>39566.01</v>
      </c>
      <c r="AG32" s="92">
        <v>38307.72</v>
      </c>
      <c r="AH32" s="92"/>
      <c r="AI32" s="92"/>
      <c r="AJ32" s="92"/>
      <c r="AK32" s="92"/>
      <c r="AL32" s="92">
        <v>226285.16</v>
      </c>
      <c r="AM32" s="92">
        <v>227539.6</v>
      </c>
      <c r="AN32" s="92">
        <v>1823</v>
      </c>
      <c r="AO32" s="92">
        <v>2012</v>
      </c>
      <c r="AP32" s="92">
        <v>12285</v>
      </c>
      <c r="AQ32" s="92">
        <v>10117</v>
      </c>
      <c r="AR32" s="92">
        <v>135127</v>
      </c>
      <c r="AS32" s="92">
        <v>143518</v>
      </c>
      <c r="AT32" s="92">
        <v>83425</v>
      </c>
      <c r="AU32" s="92">
        <v>95209</v>
      </c>
      <c r="AV32" s="92">
        <v>64157</v>
      </c>
      <c r="AW32" s="92">
        <v>72085</v>
      </c>
      <c r="AX32" s="92">
        <v>80351</v>
      </c>
      <c r="AY32" s="92">
        <v>103684</v>
      </c>
      <c r="AZ32" s="92"/>
      <c r="BA32" s="92"/>
      <c r="BB32" s="92">
        <v>200555</v>
      </c>
      <c r="BC32" s="92">
        <v>226561</v>
      </c>
      <c r="BD32" s="92">
        <v>23801</v>
      </c>
      <c r="BE32" s="92">
        <v>537089</v>
      </c>
      <c r="BF32" s="92">
        <v>0</v>
      </c>
      <c r="BG32" s="92">
        <v>0</v>
      </c>
      <c r="BH32" s="92">
        <v>267524</v>
      </c>
      <c r="BI32" s="92">
        <v>275462</v>
      </c>
      <c r="BJ32" s="92">
        <v>42946</v>
      </c>
      <c r="BK32" s="92">
        <v>38022</v>
      </c>
      <c r="BL32" s="68">
        <f t="shared" si="4"/>
        <v>2276371.8499999996</v>
      </c>
      <c r="BM32" s="68">
        <f t="shared" si="5"/>
        <v>3152020.85</v>
      </c>
    </row>
    <row r="33" spans="1:65" x14ac:dyDescent="0.25">
      <c r="A33" s="2" t="s">
        <v>284</v>
      </c>
      <c r="B33" s="92">
        <v>9389</v>
      </c>
      <c r="C33" s="92">
        <v>9389</v>
      </c>
      <c r="D33" s="92"/>
      <c r="E33" s="92"/>
      <c r="F33" s="92"/>
      <c r="G33" s="92"/>
      <c r="H33" s="92">
        <v>231299</v>
      </c>
      <c r="I33" s="92">
        <v>231299</v>
      </c>
      <c r="J33" s="92"/>
      <c r="K33" s="92"/>
      <c r="L33" s="92">
        <v>143393</v>
      </c>
      <c r="M33" s="92">
        <v>143393</v>
      </c>
      <c r="N33" s="92"/>
      <c r="O33" s="92"/>
      <c r="P33" s="91">
        <v>7300.95</v>
      </c>
      <c r="Q33" s="91">
        <v>7300.95</v>
      </c>
      <c r="R33" s="92">
        <v>73755.67</v>
      </c>
      <c r="S33" s="92">
        <v>73755.67</v>
      </c>
      <c r="T33" s="92">
        <v>154226</v>
      </c>
      <c r="U33" s="92">
        <v>154226</v>
      </c>
      <c r="V33" s="92">
        <v>-133843</v>
      </c>
      <c r="W33" s="92">
        <v>-133843</v>
      </c>
      <c r="X33" s="92">
        <v>397004</v>
      </c>
      <c r="Y33" s="92">
        <v>397004</v>
      </c>
      <c r="Z33" s="92">
        <v>17087</v>
      </c>
      <c r="AA33" s="92">
        <v>179257</v>
      </c>
      <c r="AB33" s="92">
        <v>16423</v>
      </c>
      <c r="AC33" s="92">
        <v>16423</v>
      </c>
      <c r="AD33" s="92">
        <v>48722</v>
      </c>
      <c r="AE33" s="92">
        <v>48722</v>
      </c>
      <c r="AF33" s="92">
        <v>-46792.26</v>
      </c>
      <c r="AG33" s="92">
        <v>-46792.26</v>
      </c>
      <c r="AH33" s="92"/>
      <c r="AI33" s="92"/>
      <c r="AJ33" s="92"/>
      <c r="AK33" s="92"/>
      <c r="AL33" s="92">
        <v>222329.52</v>
      </c>
      <c r="AM33" s="92">
        <v>222329.52</v>
      </c>
      <c r="AN33" s="92">
        <v>-2253</v>
      </c>
      <c r="AO33" s="92">
        <v>-2253</v>
      </c>
      <c r="AP33" s="92">
        <v>12251</v>
      </c>
      <c r="AQ33" s="92">
        <v>12251</v>
      </c>
      <c r="AR33" s="92">
        <v>145763</v>
      </c>
      <c r="AS33" s="92">
        <v>145763</v>
      </c>
      <c r="AT33" s="92">
        <v>85475</v>
      </c>
      <c r="AU33" s="92">
        <v>85475</v>
      </c>
      <c r="AV33" s="92">
        <v>80064</v>
      </c>
      <c r="AW33" s="92">
        <v>80064</v>
      </c>
      <c r="AX33" s="92">
        <v>81070</v>
      </c>
      <c r="AY33" s="92">
        <v>81070</v>
      </c>
      <c r="AZ33" s="92"/>
      <c r="BA33" s="92"/>
      <c r="BB33" s="92">
        <v>230612</v>
      </c>
      <c r="BC33" s="92">
        <v>230612</v>
      </c>
      <c r="BD33" s="92">
        <v>23043</v>
      </c>
      <c r="BE33" s="92">
        <v>458161</v>
      </c>
      <c r="BF33" s="92">
        <v>-4913</v>
      </c>
      <c r="BG33" s="92">
        <v>-10976</v>
      </c>
      <c r="BH33" s="92">
        <v>264039</v>
      </c>
      <c r="BI33" s="92">
        <v>264039</v>
      </c>
      <c r="BJ33" s="92">
        <v>-53718</v>
      </c>
      <c r="BK33" s="92">
        <v>-53718</v>
      </c>
      <c r="BL33" s="68">
        <f t="shared" si="4"/>
        <v>2001726.88</v>
      </c>
      <c r="BM33" s="68">
        <f t="shared" si="5"/>
        <v>2592951.88</v>
      </c>
    </row>
    <row r="34" spans="1:65" s="7" customFormat="1" x14ac:dyDescent="0.25">
      <c r="A34" s="10" t="s">
        <v>192</v>
      </c>
      <c r="B34" s="10">
        <v>3623</v>
      </c>
      <c r="C34" s="10">
        <v>9163</v>
      </c>
      <c r="D34" s="10"/>
      <c r="E34" s="10"/>
      <c r="F34" s="10"/>
      <c r="G34" s="10"/>
      <c r="H34" s="10">
        <v>110690</v>
      </c>
      <c r="I34" s="10">
        <v>335018</v>
      </c>
      <c r="J34" s="10"/>
      <c r="K34" s="10"/>
      <c r="L34" s="10">
        <v>69149</v>
      </c>
      <c r="M34" s="10">
        <v>201147</v>
      </c>
      <c r="N34" s="10"/>
      <c r="O34" s="10"/>
      <c r="P34" s="131">
        <v>3462.41</v>
      </c>
      <c r="Q34" s="131">
        <v>9340.2800000000007</v>
      </c>
      <c r="R34" s="10">
        <v>36125.019999999997</v>
      </c>
      <c r="S34" s="10">
        <v>103442.17</v>
      </c>
      <c r="T34" s="10">
        <v>71339</v>
      </c>
      <c r="U34" s="10">
        <v>196801</v>
      </c>
      <c r="V34" s="10">
        <v>64958</v>
      </c>
      <c r="W34" s="10">
        <v>192799</v>
      </c>
      <c r="X34" s="10">
        <v>194218</v>
      </c>
      <c r="Y34" s="10">
        <v>592395</v>
      </c>
      <c r="Z34" s="10">
        <v>83991</v>
      </c>
      <c r="AA34" s="10">
        <v>246302</v>
      </c>
      <c r="AB34" s="10">
        <v>7227</v>
      </c>
      <c r="AC34" s="10">
        <v>20666</v>
      </c>
      <c r="AD34" s="10">
        <v>23249</v>
      </c>
      <c r="AE34" s="10">
        <v>69619</v>
      </c>
      <c r="AF34" s="10">
        <v>20607.25</v>
      </c>
      <c r="AG34" s="10">
        <v>57072.54</v>
      </c>
      <c r="AH34" s="10"/>
      <c r="AI34" s="10"/>
      <c r="AJ34" s="10"/>
      <c r="AK34" s="10"/>
      <c r="AL34" s="10">
        <v>124209.60000000001</v>
      </c>
      <c r="AM34" s="10">
        <v>325404.18</v>
      </c>
      <c r="AN34" s="10">
        <v>894</v>
      </c>
      <c r="AO34" s="10">
        <v>2805</v>
      </c>
      <c r="AP34" s="10">
        <v>6071</v>
      </c>
      <c r="AQ34" s="10">
        <v>16354</v>
      </c>
      <c r="AR34" s="10">
        <v>71505</v>
      </c>
      <c r="AS34" s="10">
        <v>201295</v>
      </c>
      <c r="AT34" s="10">
        <v>43657</v>
      </c>
      <c r="AU34" s="10">
        <v>129255</v>
      </c>
      <c r="AV34" s="10">
        <v>35139</v>
      </c>
      <c r="AW34" s="10">
        <v>96761</v>
      </c>
      <c r="AX34" s="10">
        <v>42070</v>
      </c>
      <c r="AY34" s="10">
        <v>133803</v>
      </c>
      <c r="AZ34" s="10"/>
      <c r="BA34" s="10"/>
      <c r="BB34" s="10">
        <v>108889</v>
      </c>
      <c r="BC34" s="10">
        <v>314717</v>
      </c>
      <c r="BD34" s="10">
        <v>37074</v>
      </c>
      <c r="BE34" s="10">
        <v>719613</v>
      </c>
      <c r="BF34" s="10">
        <v>98759</v>
      </c>
      <c r="BG34" s="10">
        <v>248136</v>
      </c>
      <c r="BH34" s="10">
        <v>149796</v>
      </c>
      <c r="BI34" s="10">
        <v>385680</v>
      </c>
      <c r="BJ34" s="10">
        <v>21286</v>
      </c>
      <c r="BK34" s="10">
        <v>43130</v>
      </c>
      <c r="BL34" s="63">
        <f t="shared" si="4"/>
        <v>1427988.2799999998</v>
      </c>
      <c r="BM34" s="63">
        <f t="shared" si="5"/>
        <v>4650718.17</v>
      </c>
    </row>
    <row r="36" spans="1:65" x14ac:dyDescent="0.25">
      <c r="A36" s="23" t="s">
        <v>185</v>
      </c>
    </row>
    <row r="37" spans="1:65" x14ac:dyDescent="0.25">
      <c r="A37" s="1" t="s">
        <v>0</v>
      </c>
      <c r="B37" s="153" t="s">
        <v>1</v>
      </c>
      <c r="C37" s="154"/>
      <c r="D37" s="153" t="s">
        <v>234</v>
      </c>
      <c r="E37" s="154"/>
      <c r="F37" s="153" t="s">
        <v>2</v>
      </c>
      <c r="G37" s="154"/>
      <c r="H37" s="153" t="s">
        <v>3</v>
      </c>
      <c r="I37" s="154"/>
      <c r="J37" s="153" t="s">
        <v>243</v>
      </c>
      <c r="K37" s="154"/>
      <c r="L37" s="153" t="s">
        <v>235</v>
      </c>
      <c r="M37" s="154"/>
      <c r="N37" s="153" t="s">
        <v>5</v>
      </c>
      <c r="O37" s="154"/>
      <c r="P37" s="153" t="s">
        <v>4</v>
      </c>
      <c r="Q37" s="154"/>
      <c r="R37" s="153" t="s">
        <v>6</v>
      </c>
      <c r="S37" s="154"/>
      <c r="T37" s="153" t="s">
        <v>246</v>
      </c>
      <c r="U37" s="154"/>
      <c r="V37" s="153" t="s">
        <v>7</v>
      </c>
      <c r="W37" s="154"/>
      <c r="X37" s="153" t="s">
        <v>8</v>
      </c>
      <c r="Y37" s="154"/>
      <c r="Z37" s="153" t="s">
        <v>9</v>
      </c>
      <c r="AA37" s="154"/>
      <c r="AB37" s="153" t="s">
        <v>242</v>
      </c>
      <c r="AC37" s="154"/>
      <c r="AD37" s="153" t="s">
        <v>10</v>
      </c>
      <c r="AE37" s="154"/>
      <c r="AF37" s="153" t="s">
        <v>11</v>
      </c>
      <c r="AG37" s="154"/>
      <c r="AH37" s="153" t="s">
        <v>236</v>
      </c>
      <c r="AI37" s="154"/>
      <c r="AJ37" s="153" t="s">
        <v>245</v>
      </c>
      <c r="AK37" s="154"/>
      <c r="AL37" s="153" t="s">
        <v>12</v>
      </c>
      <c r="AM37" s="154"/>
      <c r="AN37" s="153" t="s">
        <v>237</v>
      </c>
      <c r="AO37" s="154"/>
      <c r="AP37" s="153" t="s">
        <v>238</v>
      </c>
      <c r="AQ37" s="154"/>
      <c r="AR37" s="153" t="s">
        <v>241</v>
      </c>
      <c r="AS37" s="154"/>
      <c r="AT37" s="153" t="s">
        <v>13</v>
      </c>
      <c r="AU37" s="154"/>
      <c r="AV37" s="153" t="s">
        <v>14</v>
      </c>
      <c r="AW37" s="154"/>
      <c r="AX37" s="153" t="s">
        <v>15</v>
      </c>
      <c r="AY37" s="154"/>
      <c r="AZ37" s="153" t="s">
        <v>16</v>
      </c>
      <c r="BA37" s="154"/>
      <c r="BB37" s="153" t="s">
        <v>17</v>
      </c>
      <c r="BC37" s="154"/>
      <c r="BD37" s="153" t="s">
        <v>239</v>
      </c>
      <c r="BE37" s="154"/>
      <c r="BF37" s="153" t="s">
        <v>240</v>
      </c>
      <c r="BG37" s="154"/>
      <c r="BH37" s="153" t="s">
        <v>18</v>
      </c>
      <c r="BI37" s="154"/>
      <c r="BJ37" s="153" t="s">
        <v>19</v>
      </c>
      <c r="BK37" s="154"/>
      <c r="BL37" s="155" t="s">
        <v>20</v>
      </c>
      <c r="BM37" s="156"/>
    </row>
    <row r="38" spans="1:65" ht="30" x14ac:dyDescent="0.25">
      <c r="A38" s="1"/>
      <c r="B38" s="53" t="s">
        <v>303</v>
      </c>
      <c r="C38" s="54" t="s">
        <v>302</v>
      </c>
      <c r="D38" s="53" t="s">
        <v>303</v>
      </c>
      <c r="E38" s="54" t="s">
        <v>302</v>
      </c>
      <c r="F38" s="53" t="s">
        <v>303</v>
      </c>
      <c r="G38" s="54" t="s">
        <v>302</v>
      </c>
      <c r="H38" s="53" t="s">
        <v>303</v>
      </c>
      <c r="I38" s="54" t="s">
        <v>302</v>
      </c>
      <c r="J38" s="53" t="s">
        <v>303</v>
      </c>
      <c r="K38" s="54" t="s">
        <v>302</v>
      </c>
      <c r="L38" s="53" t="s">
        <v>303</v>
      </c>
      <c r="M38" s="54" t="s">
        <v>302</v>
      </c>
      <c r="N38" s="53" t="s">
        <v>303</v>
      </c>
      <c r="O38" s="54" t="s">
        <v>302</v>
      </c>
      <c r="P38" s="53" t="s">
        <v>303</v>
      </c>
      <c r="Q38" s="54" t="s">
        <v>302</v>
      </c>
      <c r="R38" s="53" t="s">
        <v>303</v>
      </c>
      <c r="S38" s="54" t="s">
        <v>302</v>
      </c>
      <c r="T38" s="53" t="s">
        <v>303</v>
      </c>
      <c r="U38" s="54" t="s">
        <v>302</v>
      </c>
      <c r="V38" s="53" t="s">
        <v>303</v>
      </c>
      <c r="W38" s="54" t="s">
        <v>302</v>
      </c>
      <c r="X38" s="53" t="s">
        <v>303</v>
      </c>
      <c r="Y38" s="54" t="s">
        <v>302</v>
      </c>
      <c r="Z38" s="53" t="s">
        <v>303</v>
      </c>
      <c r="AA38" s="54" t="s">
        <v>302</v>
      </c>
      <c r="AB38" s="53" t="s">
        <v>303</v>
      </c>
      <c r="AC38" s="54" t="s">
        <v>302</v>
      </c>
      <c r="AD38" s="53" t="s">
        <v>303</v>
      </c>
      <c r="AE38" s="54" t="s">
        <v>302</v>
      </c>
      <c r="AF38" s="53" t="s">
        <v>303</v>
      </c>
      <c r="AG38" s="54" t="s">
        <v>302</v>
      </c>
      <c r="AH38" s="53" t="s">
        <v>303</v>
      </c>
      <c r="AI38" s="54" t="s">
        <v>302</v>
      </c>
      <c r="AJ38" s="53" t="s">
        <v>303</v>
      </c>
      <c r="AK38" s="54" t="s">
        <v>302</v>
      </c>
      <c r="AL38" s="53" t="s">
        <v>303</v>
      </c>
      <c r="AM38" s="54" t="s">
        <v>302</v>
      </c>
      <c r="AN38" s="53" t="s">
        <v>303</v>
      </c>
      <c r="AO38" s="54" t="s">
        <v>302</v>
      </c>
      <c r="AP38" s="53" t="s">
        <v>303</v>
      </c>
      <c r="AQ38" s="54" t="s">
        <v>302</v>
      </c>
      <c r="AR38" s="53" t="s">
        <v>303</v>
      </c>
      <c r="AS38" s="54" t="s">
        <v>302</v>
      </c>
      <c r="AT38" s="53" t="s">
        <v>303</v>
      </c>
      <c r="AU38" s="54" t="s">
        <v>302</v>
      </c>
      <c r="AV38" s="53" t="s">
        <v>303</v>
      </c>
      <c r="AW38" s="54" t="s">
        <v>302</v>
      </c>
      <c r="AX38" s="53" t="s">
        <v>303</v>
      </c>
      <c r="AY38" s="54" t="s">
        <v>302</v>
      </c>
      <c r="AZ38" s="53" t="s">
        <v>303</v>
      </c>
      <c r="BA38" s="54" t="s">
        <v>302</v>
      </c>
      <c r="BB38" s="53" t="s">
        <v>303</v>
      </c>
      <c r="BC38" s="54" t="s">
        <v>302</v>
      </c>
      <c r="BD38" s="53" t="s">
        <v>303</v>
      </c>
      <c r="BE38" s="54" t="s">
        <v>302</v>
      </c>
      <c r="BF38" s="53" t="s">
        <v>303</v>
      </c>
      <c r="BG38" s="54" t="s">
        <v>302</v>
      </c>
      <c r="BH38" s="53" t="s">
        <v>303</v>
      </c>
      <c r="BI38" s="54" t="s">
        <v>302</v>
      </c>
      <c r="BJ38" s="53" t="s">
        <v>303</v>
      </c>
      <c r="BK38" s="54" t="s">
        <v>302</v>
      </c>
      <c r="BL38" s="105" t="s">
        <v>303</v>
      </c>
      <c r="BM38" s="106" t="s">
        <v>302</v>
      </c>
    </row>
    <row r="39" spans="1:65" x14ac:dyDescent="0.25">
      <c r="A39" s="92" t="s">
        <v>279</v>
      </c>
      <c r="B39" s="76"/>
      <c r="C39" s="76"/>
      <c r="D39" s="76"/>
      <c r="E39" s="76"/>
      <c r="F39" s="76"/>
      <c r="G39" s="76"/>
      <c r="H39" s="92">
        <v>6177</v>
      </c>
      <c r="I39" s="92">
        <v>18761</v>
      </c>
      <c r="J39" s="76"/>
      <c r="K39" s="76"/>
      <c r="L39" s="92">
        <v>713</v>
      </c>
      <c r="M39" s="92">
        <v>2244</v>
      </c>
      <c r="N39" s="76"/>
      <c r="O39" s="76"/>
      <c r="P39" s="91">
        <v>133.5</v>
      </c>
      <c r="Q39" s="91">
        <v>374.57</v>
      </c>
      <c r="R39" s="92">
        <v>1427.03</v>
      </c>
      <c r="S39" s="92">
        <v>4557.72</v>
      </c>
      <c r="T39" s="92">
        <v>856</v>
      </c>
      <c r="U39" s="92">
        <v>2288</v>
      </c>
      <c r="V39" s="92">
        <v>3302</v>
      </c>
      <c r="W39" s="92">
        <v>13945</v>
      </c>
      <c r="X39" s="92">
        <v>13614</v>
      </c>
      <c r="Y39" s="92">
        <v>41540</v>
      </c>
      <c r="Z39" s="92">
        <v>2772</v>
      </c>
      <c r="AA39" s="92">
        <v>8599</v>
      </c>
      <c r="AB39" s="92">
        <v>113</v>
      </c>
      <c r="AC39" s="92">
        <v>244</v>
      </c>
      <c r="AD39" s="92">
        <v>829</v>
      </c>
      <c r="AE39" s="92">
        <v>2605</v>
      </c>
      <c r="AF39" s="92">
        <v>432.15</v>
      </c>
      <c r="AG39" s="92">
        <v>388.15</v>
      </c>
      <c r="AH39" s="76"/>
      <c r="AI39" s="76"/>
      <c r="AJ39" s="76"/>
      <c r="AK39" s="76"/>
      <c r="AL39" s="92">
        <v>7366.28</v>
      </c>
      <c r="AM39" s="92">
        <v>22854.7</v>
      </c>
      <c r="AN39" s="92"/>
      <c r="AO39" s="92"/>
      <c r="AP39" s="92">
        <v>122</v>
      </c>
      <c r="AQ39" s="92">
        <v>327</v>
      </c>
      <c r="AR39" s="76">
        <v>3259</v>
      </c>
      <c r="AS39" s="76">
        <v>14257</v>
      </c>
      <c r="AT39" s="92">
        <v>1316</v>
      </c>
      <c r="AU39" s="92">
        <v>4187</v>
      </c>
      <c r="AV39" s="92">
        <v>1587</v>
      </c>
      <c r="AW39" s="92">
        <v>4304</v>
      </c>
      <c r="AX39" s="92">
        <v>334</v>
      </c>
      <c r="AY39" s="92">
        <v>1015</v>
      </c>
      <c r="AZ39" s="76"/>
      <c r="BA39" s="76"/>
      <c r="BB39" s="92">
        <v>4161</v>
      </c>
      <c r="BC39" s="92">
        <v>10153</v>
      </c>
      <c r="BD39" s="92">
        <v>18328</v>
      </c>
      <c r="BE39" s="92">
        <v>59283</v>
      </c>
      <c r="BF39" s="92">
        <v>8660</v>
      </c>
      <c r="BG39" s="92">
        <v>26082</v>
      </c>
      <c r="BH39" s="92">
        <v>10405.09</v>
      </c>
      <c r="BI39" s="92">
        <v>27625.23</v>
      </c>
      <c r="BJ39" s="92">
        <v>312</v>
      </c>
      <c r="BK39" s="92">
        <v>802</v>
      </c>
      <c r="BL39" s="68">
        <f t="shared" ref="BL39:BL45" si="6">SUM(B39+D39+F39+H39+J39+L39+N39+P39+R39+T39+V39+X39+Z39+AB39+AD39+AF39+AH39+AJ39+AL39+AN39+AP39+AR39+AT39+AV39+AX39+AZ39+BB39+BD39+BF39+BH39+BJ39)</f>
        <v>86219.049999999988</v>
      </c>
      <c r="BM39" s="68">
        <f t="shared" ref="BM39:BM45" si="7">SUM(C39+E39+G39+I39+K39+M39+O39+Q39+S39+U39+W39+Y39+AA39+AC39+AE39+AG39+AI39+AK39+AM39+AO39+AQ39+AS39+AU39+AW39+AY39+BA39+BC39+BE39+BG39+BI39+BK39)</f>
        <v>266436.37</v>
      </c>
    </row>
    <row r="40" spans="1:65" x14ac:dyDescent="0.25">
      <c r="A40" s="92" t="s">
        <v>280</v>
      </c>
      <c r="B40" s="76"/>
      <c r="C40" s="76"/>
      <c r="D40" s="76"/>
      <c r="E40" s="76"/>
      <c r="F40" s="76"/>
      <c r="G40" s="76"/>
      <c r="H40" s="92">
        <v>283</v>
      </c>
      <c r="I40" s="92">
        <v>654</v>
      </c>
      <c r="J40" s="76"/>
      <c r="K40" s="76"/>
      <c r="L40" s="92">
        <v>64</v>
      </c>
      <c r="M40" s="92">
        <v>170</v>
      </c>
      <c r="N40" s="76"/>
      <c r="O40" s="76"/>
      <c r="P40" s="91">
        <v>8.9499999999999993</v>
      </c>
      <c r="Q40" s="91">
        <v>31.3</v>
      </c>
      <c r="R40" s="92">
        <v>165.98</v>
      </c>
      <c r="S40" s="92">
        <v>416.47</v>
      </c>
      <c r="T40" s="92">
        <v>112</v>
      </c>
      <c r="U40" s="92">
        <v>295</v>
      </c>
      <c r="V40" s="92">
        <v>55</v>
      </c>
      <c r="W40" s="92">
        <v>431</v>
      </c>
      <c r="X40" s="92">
        <v>408</v>
      </c>
      <c r="Y40" s="92">
        <v>2257</v>
      </c>
      <c r="Z40" s="92">
        <v>127</v>
      </c>
      <c r="AA40" s="92">
        <v>370</v>
      </c>
      <c r="AB40" s="92">
        <v>9</v>
      </c>
      <c r="AC40" s="92">
        <v>31</v>
      </c>
      <c r="AD40" s="92">
        <v>46</v>
      </c>
      <c r="AE40" s="92">
        <v>118</v>
      </c>
      <c r="AF40" s="92"/>
      <c r="AG40" s="92">
        <v>168.05</v>
      </c>
      <c r="AH40" s="76"/>
      <c r="AI40" s="76"/>
      <c r="AJ40" s="76"/>
      <c r="AK40" s="76"/>
      <c r="AL40" s="92">
        <v>582.88</v>
      </c>
      <c r="AM40" s="92">
        <v>1868.29</v>
      </c>
      <c r="AN40" s="92">
        <v>2</v>
      </c>
      <c r="AO40" s="92">
        <v>6</v>
      </c>
      <c r="AP40" s="92">
        <v>-14</v>
      </c>
      <c r="AQ40" s="92">
        <v>159</v>
      </c>
      <c r="AR40" s="76">
        <v>78</v>
      </c>
      <c r="AS40" s="76">
        <v>307</v>
      </c>
      <c r="AT40" s="92">
        <v>205</v>
      </c>
      <c r="AU40" s="92">
        <v>539</v>
      </c>
      <c r="AV40" s="92">
        <v>14</v>
      </c>
      <c r="AW40" s="92">
        <v>49</v>
      </c>
      <c r="AX40" s="92">
        <v>17</v>
      </c>
      <c r="AY40" s="92">
        <v>61</v>
      </c>
      <c r="AZ40" s="76"/>
      <c r="BA40" s="76"/>
      <c r="BB40" s="92">
        <v>324</v>
      </c>
      <c r="BC40" s="92">
        <v>704</v>
      </c>
      <c r="BD40" s="92">
        <v>724</v>
      </c>
      <c r="BE40" s="92">
        <v>3428</v>
      </c>
      <c r="BF40" s="92">
        <v>2159</v>
      </c>
      <c r="BG40" s="92">
        <v>2435</v>
      </c>
      <c r="BH40" s="92">
        <v>830.86</v>
      </c>
      <c r="BI40" s="92">
        <v>1885.25</v>
      </c>
      <c r="BJ40" s="92">
        <v>9</v>
      </c>
      <c r="BK40" s="92">
        <v>31</v>
      </c>
      <c r="BL40" s="68">
        <f t="shared" si="6"/>
        <v>6210.6699999999992</v>
      </c>
      <c r="BM40" s="68">
        <f t="shared" si="7"/>
        <v>16414.36</v>
      </c>
    </row>
    <row r="41" spans="1:65" x14ac:dyDescent="0.25">
      <c r="A41" s="92" t="s">
        <v>281</v>
      </c>
      <c r="B41" s="76"/>
      <c r="C41" s="76"/>
      <c r="D41" s="76"/>
      <c r="E41" s="76"/>
      <c r="F41" s="76"/>
      <c r="G41" s="76"/>
      <c r="H41" s="92">
        <v>-5766</v>
      </c>
      <c r="I41" s="92">
        <v>-17325</v>
      </c>
      <c r="J41" s="76"/>
      <c r="K41" s="76"/>
      <c r="L41" s="92">
        <v>516</v>
      </c>
      <c r="M41" s="92">
        <v>1477</v>
      </c>
      <c r="N41" s="76"/>
      <c r="O41" s="76"/>
      <c r="P41" s="91">
        <v>128.9</v>
      </c>
      <c r="Q41" s="91">
        <v>360.47</v>
      </c>
      <c r="R41" s="92">
        <v>1156.8900000000001</v>
      </c>
      <c r="S41" s="92">
        <v>3949.25</v>
      </c>
      <c r="T41" s="92">
        <v>864</v>
      </c>
      <c r="U41" s="92">
        <v>2289</v>
      </c>
      <c r="V41" s="92">
        <v>-2683</v>
      </c>
      <c r="W41" s="92">
        <v>-10736</v>
      </c>
      <c r="X41" s="92">
        <v>9665</v>
      </c>
      <c r="Y41" s="92">
        <v>31370</v>
      </c>
      <c r="Z41" s="92">
        <v>2477</v>
      </c>
      <c r="AA41" s="92">
        <v>7620</v>
      </c>
      <c r="AB41" s="92">
        <v>197</v>
      </c>
      <c r="AC41" s="92">
        <v>316</v>
      </c>
      <c r="AD41" s="92">
        <v>583</v>
      </c>
      <c r="AE41" s="92">
        <v>2160</v>
      </c>
      <c r="AF41" s="92">
        <v>-53.49</v>
      </c>
      <c r="AG41" s="92">
        <v>-463.16</v>
      </c>
      <c r="AH41" s="76"/>
      <c r="AI41" s="76"/>
      <c r="AJ41" s="76"/>
      <c r="AK41" s="76"/>
      <c r="AL41" s="92">
        <v>2291.48</v>
      </c>
      <c r="AM41" s="92">
        <v>8995.68</v>
      </c>
      <c r="AN41" s="92"/>
      <c r="AO41" s="92"/>
      <c r="AP41" s="92">
        <v>88</v>
      </c>
      <c r="AQ41" s="92">
        <v>387</v>
      </c>
      <c r="AR41" s="76">
        <v>2385</v>
      </c>
      <c r="AS41" s="76">
        <v>11321</v>
      </c>
      <c r="AT41" s="92">
        <v>1249</v>
      </c>
      <c r="AU41" s="92">
        <v>3896</v>
      </c>
      <c r="AV41" s="92">
        <v>1004</v>
      </c>
      <c r="AW41" s="92">
        <v>2872</v>
      </c>
      <c r="AX41" s="92">
        <v>150</v>
      </c>
      <c r="AY41" s="92">
        <v>478</v>
      </c>
      <c r="AZ41" s="76"/>
      <c r="BA41" s="76"/>
      <c r="BB41" s="92">
        <v>3646</v>
      </c>
      <c r="BC41" s="92">
        <v>8895</v>
      </c>
      <c r="BD41" s="92">
        <v>11607</v>
      </c>
      <c r="BE41" s="92">
        <v>32570</v>
      </c>
      <c r="BF41" s="92">
        <v>4586</v>
      </c>
      <c r="BG41" s="92">
        <v>13383</v>
      </c>
      <c r="BH41" s="92">
        <v>5308</v>
      </c>
      <c r="BI41" s="92">
        <v>15043</v>
      </c>
      <c r="BJ41" s="92">
        <v>356</v>
      </c>
      <c r="BK41" s="92">
        <v>860</v>
      </c>
      <c r="BL41" s="68">
        <f t="shared" si="6"/>
        <v>39755.78</v>
      </c>
      <c r="BM41" s="68">
        <f t="shared" si="7"/>
        <v>119718.24</v>
      </c>
    </row>
    <row r="42" spans="1:65" s="7" customFormat="1" x14ac:dyDescent="0.25">
      <c r="A42" s="10" t="s">
        <v>282</v>
      </c>
      <c r="B42" s="10"/>
      <c r="C42" s="10"/>
      <c r="D42" s="10"/>
      <c r="E42" s="10"/>
      <c r="F42" s="10"/>
      <c r="G42" s="10"/>
      <c r="H42" s="10">
        <v>694</v>
      </c>
      <c r="I42" s="10">
        <v>2090</v>
      </c>
      <c r="J42" s="10"/>
      <c r="K42" s="10"/>
      <c r="L42" s="10">
        <v>261</v>
      </c>
      <c r="M42" s="10">
        <v>937</v>
      </c>
      <c r="N42" s="10"/>
      <c r="O42" s="10"/>
      <c r="P42" s="131">
        <v>13.55</v>
      </c>
      <c r="Q42" s="131">
        <v>45.4</v>
      </c>
      <c r="R42" s="10">
        <v>436.12</v>
      </c>
      <c r="S42" s="10">
        <v>1024.94</v>
      </c>
      <c r="T42" s="10">
        <v>104</v>
      </c>
      <c r="U42" s="10">
        <v>294</v>
      </c>
      <c r="V42" s="10">
        <v>674</v>
      </c>
      <c r="W42" s="10">
        <v>3639</v>
      </c>
      <c r="X42" s="10">
        <v>4358</v>
      </c>
      <c r="Y42" s="10">
        <v>12427</v>
      </c>
      <c r="Z42" s="10">
        <v>422</v>
      </c>
      <c r="AA42" s="10">
        <v>1349</v>
      </c>
      <c r="AB42" s="10">
        <v>-75</v>
      </c>
      <c r="AC42" s="10">
        <v>-41</v>
      </c>
      <c r="AD42" s="10">
        <v>292</v>
      </c>
      <c r="AE42" s="10">
        <v>563</v>
      </c>
      <c r="AF42" s="10">
        <v>378.66</v>
      </c>
      <c r="AG42" s="10">
        <v>93.04</v>
      </c>
      <c r="AH42" s="10"/>
      <c r="AI42" s="10"/>
      <c r="AJ42" s="10"/>
      <c r="AK42" s="10"/>
      <c r="AL42" s="10">
        <v>5657.68</v>
      </c>
      <c r="AM42" s="10">
        <v>15727.31</v>
      </c>
      <c r="AN42" s="10">
        <v>2</v>
      </c>
      <c r="AO42" s="10">
        <v>6</v>
      </c>
      <c r="AP42" s="10">
        <v>20</v>
      </c>
      <c r="AQ42" s="10">
        <v>99</v>
      </c>
      <c r="AR42" s="10">
        <v>951</v>
      </c>
      <c r="AS42" s="10">
        <v>3243</v>
      </c>
      <c r="AT42" s="10">
        <v>272</v>
      </c>
      <c r="AU42" s="10">
        <v>830</v>
      </c>
      <c r="AV42" s="10">
        <v>597</v>
      </c>
      <c r="AW42" s="10">
        <v>1481</v>
      </c>
      <c r="AX42" s="10">
        <v>201</v>
      </c>
      <c r="AY42" s="10">
        <v>599</v>
      </c>
      <c r="AZ42" s="10"/>
      <c r="BA42" s="10"/>
      <c r="BB42" s="10">
        <v>839</v>
      </c>
      <c r="BC42" s="10">
        <v>1963</v>
      </c>
      <c r="BD42" s="10">
        <v>7445</v>
      </c>
      <c r="BE42" s="10">
        <v>30140</v>
      </c>
      <c r="BF42" s="10">
        <v>6234</v>
      </c>
      <c r="BG42" s="10">
        <v>15134</v>
      </c>
      <c r="BH42" s="10">
        <v>5928</v>
      </c>
      <c r="BI42" s="10">
        <v>14468</v>
      </c>
      <c r="BJ42" s="10">
        <v>-35</v>
      </c>
      <c r="BK42" s="10">
        <v>-27</v>
      </c>
      <c r="BL42" s="63">
        <f t="shared" si="6"/>
        <v>35670.01</v>
      </c>
      <c r="BM42" s="63">
        <f t="shared" si="7"/>
        <v>106084.69</v>
      </c>
    </row>
    <row r="43" spans="1:65" x14ac:dyDescent="0.25">
      <c r="A43" s="92" t="s">
        <v>283</v>
      </c>
      <c r="B43" s="92"/>
      <c r="C43" s="92"/>
      <c r="D43" s="92"/>
      <c r="E43" s="92"/>
      <c r="F43" s="92"/>
      <c r="G43" s="92"/>
      <c r="H43" s="92">
        <v>1636</v>
      </c>
      <c r="I43" s="92">
        <v>1547</v>
      </c>
      <c r="J43" s="92"/>
      <c r="K43" s="92"/>
      <c r="L43" s="92">
        <v>743</v>
      </c>
      <c r="M43" s="92">
        <v>756</v>
      </c>
      <c r="N43" s="92"/>
      <c r="O43" s="92"/>
      <c r="P43" s="91">
        <v>49.44</v>
      </c>
      <c r="Q43" s="91">
        <v>37.18</v>
      </c>
      <c r="R43" s="92">
        <v>540.51</v>
      </c>
      <c r="S43" s="92">
        <v>474.12</v>
      </c>
      <c r="T43" s="92">
        <v>186</v>
      </c>
      <c r="U43" s="92">
        <v>89</v>
      </c>
      <c r="V43" s="92">
        <v>2315</v>
      </c>
      <c r="W43" s="92">
        <v>1933</v>
      </c>
      <c r="X43" s="92">
        <v>10745</v>
      </c>
      <c r="Y43" s="92">
        <v>9043</v>
      </c>
      <c r="Z43" s="92">
        <v>0</v>
      </c>
      <c r="AA43" s="92">
        <v>1075</v>
      </c>
      <c r="AB43" s="92">
        <v>32</v>
      </c>
      <c r="AC43" s="92">
        <v>25</v>
      </c>
      <c r="AD43" s="92">
        <v>373</v>
      </c>
      <c r="AE43" s="92">
        <v>425</v>
      </c>
      <c r="AF43" s="92">
        <v>204.28</v>
      </c>
      <c r="AG43" s="92">
        <v>85.71</v>
      </c>
      <c r="AH43" s="92"/>
      <c r="AI43" s="92"/>
      <c r="AJ43" s="92"/>
      <c r="AK43" s="92"/>
      <c r="AL43" s="92">
        <v>11447.27</v>
      </c>
      <c r="AM43" s="92">
        <v>10965.11</v>
      </c>
      <c r="AN43" s="92">
        <v>3</v>
      </c>
      <c r="AO43" s="92">
        <v>3</v>
      </c>
      <c r="AP43" s="92">
        <v>63</v>
      </c>
      <c r="AQ43" s="92">
        <v>15</v>
      </c>
      <c r="AR43" s="92">
        <v>1717</v>
      </c>
      <c r="AS43" s="92">
        <v>1540</v>
      </c>
      <c r="AT43" s="92">
        <v>630</v>
      </c>
      <c r="AU43" s="92">
        <v>577</v>
      </c>
      <c r="AV43" s="92">
        <v>1521</v>
      </c>
      <c r="AW43" s="92">
        <v>1469</v>
      </c>
      <c r="AX43" s="92">
        <v>501</v>
      </c>
      <c r="AY43" s="92">
        <v>516</v>
      </c>
      <c r="AZ43" s="92"/>
      <c r="BA43" s="92"/>
      <c r="BB43" s="92">
        <v>1144</v>
      </c>
      <c r="BC43" s="92">
        <v>671</v>
      </c>
      <c r="BD43" s="92">
        <v>43190</v>
      </c>
      <c r="BE43" s="92">
        <v>38868</v>
      </c>
      <c r="BF43" s="92">
        <v>0</v>
      </c>
      <c r="BG43" s="92"/>
      <c r="BH43" s="92">
        <v>10672</v>
      </c>
      <c r="BI43" s="92">
        <v>11282</v>
      </c>
      <c r="BJ43" s="92">
        <v>80</v>
      </c>
      <c r="BK43" s="92">
        <v>75</v>
      </c>
      <c r="BL43" s="68">
        <f t="shared" si="6"/>
        <v>87792.5</v>
      </c>
      <c r="BM43" s="68">
        <f t="shared" si="7"/>
        <v>81471.12</v>
      </c>
    </row>
    <row r="44" spans="1:65" x14ac:dyDescent="0.25">
      <c r="A44" s="2" t="s">
        <v>284</v>
      </c>
      <c r="B44" s="92"/>
      <c r="C44" s="92"/>
      <c r="D44" s="92"/>
      <c r="E44" s="92"/>
      <c r="F44" s="92"/>
      <c r="G44" s="92"/>
      <c r="H44" s="92">
        <v>1562</v>
      </c>
      <c r="I44" s="92">
        <v>1562</v>
      </c>
      <c r="J44" s="92"/>
      <c r="K44" s="92"/>
      <c r="L44" s="92">
        <v>708</v>
      </c>
      <c r="M44" s="92">
        <v>708</v>
      </c>
      <c r="N44" s="92"/>
      <c r="O44" s="92"/>
      <c r="P44" s="91">
        <v>52.57</v>
      </c>
      <c r="Q44" s="91">
        <v>52.57</v>
      </c>
      <c r="R44" s="92">
        <v>638.46</v>
      </c>
      <c r="S44" s="92">
        <v>638.46</v>
      </c>
      <c r="T44" s="92">
        <v>252</v>
      </c>
      <c r="U44" s="92">
        <v>252</v>
      </c>
      <c r="V44" s="92">
        <v>-2051</v>
      </c>
      <c r="W44" s="92">
        <v>-2051</v>
      </c>
      <c r="X44" s="92">
        <v>11258</v>
      </c>
      <c r="Y44" s="92">
        <v>11258</v>
      </c>
      <c r="Z44" s="92">
        <v>-54</v>
      </c>
      <c r="AA44" s="92">
        <v>1059</v>
      </c>
      <c r="AB44" s="92">
        <v>40</v>
      </c>
      <c r="AC44" s="92">
        <v>40</v>
      </c>
      <c r="AD44" s="92">
        <v>469</v>
      </c>
      <c r="AE44" s="92">
        <v>469</v>
      </c>
      <c r="AF44" s="92">
        <v>-246.08</v>
      </c>
      <c r="AG44" s="92">
        <v>-79.510000000000005</v>
      </c>
      <c r="AH44" s="92"/>
      <c r="AI44" s="92"/>
      <c r="AJ44" s="92"/>
      <c r="AK44" s="92"/>
      <c r="AL44" s="92">
        <v>11745.43</v>
      </c>
      <c r="AM44" s="92">
        <v>11745.43</v>
      </c>
      <c r="AN44" s="92">
        <v>-3</v>
      </c>
      <c r="AO44" s="92">
        <v>-3</v>
      </c>
      <c r="AP44" s="92">
        <v>54</v>
      </c>
      <c r="AQ44" s="92">
        <v>54</v>
      </c>
      <c r="AR44" s="92">
        <v>1683</v>
      </c>
      <c r="AS44" s="92">
        <v>1683</v>
      </c>
      <c r="AT44" s="92">
        <v>654</v>
      </c>
      <c r="AU44" s="92">
        <v>654</v>
      </c>
      <c r="AV44" s="92">
        <v>1597</v>
      </c>
      <c r="AW44" s="92">
        <v>1597</v>
      </c>
      <c r="AX44" s="92">
        <v>484</v>
      </c>
      <c r="AY44" s="92">
        <v>484</v>
      </c>
      <c r="AZ44" s="92"/>
      <c r="BA44" s="92"/>
      <c r="BB44" s="92">
        <v>1527</v>
      </c>
      <c r="BC44" s="92">
        <v>1527</v>
      </c>
      <c r="BD44" s="92">
        <v>42336</v>
      </c>
      <c r="BE44" s="92">
        <v>42336</v>
      </c>
      <c r="BF44" s="92">
        <v>931</v>
      </c>
      <c r="BG44" s="92">
        <v>1243</v>
      </c>
      <c r="BH44" s="92">
        <v>10691</v>
      </c>
      <c r="BI44" s="92">
        <v>10691</v>
      </c>
      <c r="BJ44" s="92">
        <v>-55</v>
      </c>
      <c r="BK44" s="92">
        <v>-55</v>
      </c>
      <c r="BL44" s="68">
        <f t="shared" si="6"/>
        <v>84273.38</v>
      </c>
      <c r="BM44" s="68">
        <f t="shared" si="7"/>
        <v>85864.95</v>
      </c>
    </row>
    <row r="45" spans="1:65" s="7" customFormat="1" x14ac:dyDescent="0.25">
      <c r="A45" s="10" t="s">
        <v>192</v>
      </c>
      <c r="B45" s="10"/>
      <c r="C45" s="10"/>
      <c r="D45" s="10"/>
      <c r="E45" s="10"/>
      <c r="F45" s="10"/>
      <c r="G45" s="10"/>
      <c r="H45" s="10">
        <v>768</v>
      </c>
      <c r="I45" s="10">
        <v>2075</v>
      </c>
      <c r="J45" s="10"/>
      <c r="K45" s="10"/>
      <c r="L45" s="10">
        <v>296</v>
      </c>
      <c r="M45" s="10">
        <v>985</v>
      </c>
      <c r="N45" s="10"/>
      <c r="O45" s="10"/>
      <c r="P45" s="131">
        <v>10.42</v>
      </c>
      <c r="Q45" s="131">
        <v>30.01</v>
      </c>
      <c r="R45" s="10">
        <v>338.17</v>
      </c>
      <c r="S45" s="10">
        <v>860.6</v>
      </c>
      <c r="T45" s="10">
        <v>38</v>
      </c>
      <c r="U45" s="10">
        <v>131</v>
      </c>
      <c r="V45" s="10">
        <v>938</v>
      </c>
      <c r="W45" s="10">
        <v>3521</v>
      </c>
      <c r="X45" s="10">
        <v>3844</v>
      </c>
      <c r="Y45" s="10">
        <v>10676</v>
      </c>
      <c r="Z45" s="10">
        <v>476</v>
      </c>
      <c r="AA45" s="10">
        <v>1365</v>
      </c>
      <c r="AB45" s="10">
        <v>-82</v>
      </c>
      <c r="AC45" s="10">
        <v>-56</v>
      </c>
      <c r="AD45" s="10">
        <v>196</v>
      </c>
      <c r="AE45" s="10">
        <v>519</v>
      </c>
      <c r="AF45" s="10">
        <v>336.86</v>
      </c>
      <c r="AG45" s="10">
        <v>99.24</v>
      </c>
      <c r="AH45" s="10"/>
      <c r="AI45" s="10"/>
      <c r="AJ45" s="10"/>
      <c r="AK45" s="10"/>
      <c r="AL45" s="10">
        <v>5359.52</v>
      </c>
      <c r="AM45" s="10">
        <v>14946.98</v>
      </c>
      <c r="AN45" s="10">
        <v>2</v>
      </c>
      <c r="AO45" s="10">
        <v>6</v>
      </c>
      <c r="AP45" s="10">
        <v>29</v>
      </c>
      <c r="AQ45" s="10">
        <v>61</v>
      </c>
      <c r="AR45" s="10">
        <v>984</v>
      </c>
      <c r="AS45" s="10">
        <v>3099</v>
      </c>
      <c r="AT45" s="10">
        <v>249</v>
      </c>
      <c r="AU45" s="10">
        <v>754</v>
      </c>
      <c r="AV45" s="10">
        <v>520</v>
      </c>
      <c r="AW45" s="10">
        <v>1353</v>
      </c>
      <c r="AX45" s="10">
        <v>218</v>
      </c>
      <c r="AY45" s="10">
        <v>632</v>
      </c>
      <c r="AZ45" s="10"/>
      <c r="BA45" s="10"/>
      <c r="BB45" s="10">
        <v>455</v>
      </c>
      <c r="BC45" s="10">
        <v>1106</v>
      </c>
      <c r="BD45" s="10">
        <v>8299</v>
      </c>
      <c r="BE45" s="10">
        <v>26672</v>
      </c>
      <c r="BF45" s="10">
        <v>5302</v>
      </c>
      <c r="BG45" s="10">
        <v>13891</v>
      </c>
      <c r="BH45" s="10">
        <v>5910</v>
      </c>
      <c r="BI45" s="10">
        <v>15059</v>
      </c>
      <c r="BJ45" s="10">
        <v>-11</v>
      </c>
      <c r="BK45" s="10">
        <v>-8</v>
      </c>
      <c r="BL45" s="63">
        <f t="shared" si="6"/>
        <v>34475.97</v>
      </c>
      <c r="BM45" s="63">
        <f t="shared" si="7"/>
        <v>97777.83</v>
      </c>
    </row>
    <row r="47" spans="1:65" x14ac:dyDescent="0.25">
      <c r="A47" s="23" t="s">
        <v>186</v>
      </c>
    </row>
    <row r="48" spans="1:65" x14ac:dyDescent="0.25">
      <c r="A48" s="1" t="s">
        <v>0</v>
      </c>
      <c r="B48" s="153" t="s">
        <v>1</v>
      </c>
      <c r="C48" s="154"/>
      <c r="D48" s="153" t="s">
        <v>234</v>
      </c>
      <c r="E48" s="154"/>
      <c r="F48" s="153" t="s">
        <v>2</v>
      </c>
      <c r="G48" s="154"/>
      <c r="H48" s="153" t="s">
        <v>3</v>
      </c>
      <c r="I48" s="154"/>
      <c r="J48" s="153" t="s">
        <v>243</v>
      </c>
      <c r="K48" s="154"/>
      <c r="L48" s="153" t="s">
        <v>235</v>
      </c>
      <c r="M48" s="154"/>
      <c r="N48" s="153" t="s">
        <v>5</v>
      </c>
      <c r="O48" s="154"/>
      <c r="P48" s="153" t="s">
        <v>4</v>
      </c>
      <c r="Q48" s="154"/>
      <c r="R48" s="153" t="s">
        <v>6</v>
      </c>
      <c r="S48" s="154"/>
      <c r="T48" s="153" t="s">
        <v>246</v>
      </c>
      <c r="U48" s="154"/>
      <c r="V48" s="153" t="s">
        <v>7</v>
      </c>
      <c r="W48" s="154"/>
      <c r="X48" s="153" t="s">
        <v>8</v>
      </c>
      <c r="Y48" s="154"/>
      <c r="Z48" s="153" t="s">
        <v>9</v>
      </c>
      <c r="AA48" s="154"/>
      <c r="AB48" s="153" t="s">
        <v>242</v>
      </c>
      <c r="AC48" s="154"/>
      <c r="AD48" s="153" t="s">
        <v>10</v>
      </c>
      <c r="AE48" s="154"/>
      <c r="AF48" s="153" t="s">
        <v>11</v>
      </c>
      <c r="AG48" s="154"/>
      <c r="AH48" s="153" t="s">
        <v>236</v>
      </c>
      <c r="AI48" s="154"/>
      <c r="AJ48" s="153" t="s">
        <v>245</v>
      </c>
      <c r="AK48" s="154"/>
      <c r="AL48" s="153" t="s">
        <v>12</v>
      </c>
      <c r="AM48" s="154"/>
      <c r="AN48" s="153" t="s">
        <v>237</v>
      </c>
      <c r="AO48" s="154"/>
      <c r="AP48" s="153" t="s">
        <v>238</v>
      </c>
      <c r="AQ48" s="154"/>
      <c r="AR48" s="153" t="s">
        <v>241</v>
      </c>
      <c r="AS48" s="154"/>
      <c r="AT48" s="153" t="s">
        <v>13</v>
      </c>
      <c r="AU48" s="154"/>
      <c r="AV48" s="153" t="s">
        <v>14</v>
      </c>
      <c r="AW48" s="154"/>
      <c r="AX48" s="153" t="s">
        <v>15</v>
      </c>
      <c r="AY48" s="154"/>
      <c r="AZ48" s="153" t="s">
        <v>16</v>
      </c>
      <c r="BA48" s="154"/>
      <c r="BB48" s="153" t="s">
        <v>17</v>
      </c>
      <c r="BC48" s="154"/>
      <c r="BD48" s="153" t="s">
        <v>239</v>
      </c>
      <c r="BE48" s="154"/>
      <c r="BF48" s="153" t="s">
        <v>240</v>
      </c>
      <c r="BG48" s="154"/>
      <c r="BH48" s="153" t="s">
        <v>18</v>
      </c>
      <c r="BI48" s="154"/>
      <c r="BJ48" s="153" t="s">
        <v>19</v>
      </c>
      <c r="BK48" s="154"/>
      <c r="BL48" s="155" t="s">
        <v>20</v>
      </c>
      <c r="BM48" s="156"/>
    </row>
    <row r="49" spans="1:65" ht="30" x14ac:dyDescent="0.25">
      <c r="A49" s="1"/>
      <c r="B49" s="53" t="s">
        <v>303</v>
      </c>
      <c r="C49" s="54" t="s">
        <v>302</v>
      </c>
      <c r="D49" s="53" t="s">
        <v>303</v>
      </c>
      <c r="E49" s="54" t="s">
        <v>302</v>
      </c>
      <c r="F49" s="53" t="s">
        <v>303</v>
      </c>
      <c r="G49" s="54" t="s">
        <v>302</v>
      </c>
      <c r="H49" s="53" t="s">
        <v>303</v>
      </c>
      <c r="I49" s="54" t="s">
        <v>302</v>
      </c>
      <c r="J49" s="53" t="s">
        <v>303</v>
      </c>
      <c r="K49" s="54" t="s">
        <v>302</v>
      </c>
      <c r="L49" s="53" t="s">
        <v>303</v>
      </c>
      <c r="M49" s="54" t="s">
        <v>302</v>
      </c>
      <c r="N49" s="53" t="s">
        <v>303</v>
      </c>
      <c r="O49" s="54" t="s">
        <v>302</v>
      </c>
      <c r="P49" s="53" t="s">
        <v>303</v>
      </c>
      <c r="Q49" s="54" t="s">
        <v>302</v>
      </c>
      <c r="R49" s="53" t="s">
        <v>303</v>
      </c>
      <c r="S49" s="54" t="s">
        <v>302</v>
      </c>
      <c r="T49" s="53" t="s">
        <v>303</v>
      </c>
      <c r="U49" s="54" t="s">
        <v>302</v>
      </c>
      <c r="V49" s="53" t="s">
        <v>303</v>
      </c>
      <c r="W49" s="54" t="s">
        <v>302</v>
      </c>
      <c r="X49" s="53" t="s">
        <v>303</v>
      </c>
      <c r="Y49" s="54" t="s">
        <v>302</v>
      </c>
      <c r="Z49" s="53" t="s">
        <v>303</v>
      </c>
      <c r="AA49" s="54" t="s">
        <v>302</v>
      </c>
      <c r="AB49" s="53" t="s">
        <v>303</v>
      </c>
      <c r="AC49" s="54" t="s">
        <v>302</v>
      </c>
      <c r="AD49" s="53" t="s">
        <v>303</v>
      </c>
      <c r="AE49" s="54" t="s">
        <v>302</v>
      </c>
      <c r="AF49" s="53" t="s">
        <v>303</v>
      </c>
      <c r="AG49" s="54" t="s">
        <v>302</v>
      </c>
      <c r="AH49" s="53" t="s">
        <v>303</v>
      </c>
      <c r="AI49" s="54" t="s">
        <v>302</v>
      </c>
      <c r="AJ49" s="53" t="s">
        <v>303</v>
      </c>
      <c r="AK49" s="54" t="s">
        <v>302</v>
      </c>
      <c r="AL49" s="53" t="s">
        <v>303</v>
      </c>
      <c r="AM49" s="54" t="s">
        <v>302</v>
      </c>
      <c r="AN49" s="53" t="s">
        <v>303</v>
      </c>
      <c r="AO49" s="54" t="s">
        <v>302</v>
      </c>
      <c r="AP49" s="53" t="s">
        <v>303</v>
      </c>
      <c r="AQ49" s="54" t="s">
        <v>302</v>
      </c>
      <c r="AR49" s="53" t="s">
        <v>303</v>
      </c>
      <c r="AS49" s="54" t="s">
        <v>302</v>
      </c>
      <c r="AT49" s="53" t="s">
        <v>303</v>
      </c>
      <c r="AU49" s="54" t="s">
        <v>302</v>
      </c>
      <c r="AV49" s="53" t="s">
        <v>303</v>
      </c>
      <c r="AW49" s="54" t="s">
        <v>302</v>
      </c>
      <c r="AX49" s="53" t="s">
        <v>303</v>
      </c>
      <c r="AY49" s="54" t="s">
        <v>302</v>
      </c>
      <c r="AZ49" s="53" t="s">
        <v>303</v>
      </c>
      <c r="BA49" s="54" t="s">
        <v>302</v>
      </c>
      <c r="BB49" s="53" t="s">
        <v>303</v>
      </c>
      <c r="BC49" s="54" t="s">
        <v>302</v>
      </c>
      <c r="BD49" s="53" t="s">
        <v>303</v>
      </c>
      <c r="BE49" s="54" t="s">
        <v>302</v>
      </c>
      <c r="BF49" s="53" t="s">
        <v>303</v>
      </c>
      <c r="BG49" s="54" t="s">
        <v>302</v>
      </c>
      <c r="BH49" s="53" t="s">
        <v>303</v>
      </c>
      <c r="BI49" s="54" t="s">
        <v>302</v>
      </c>
      <c r="BJ49" s="53" t="s">
        <v>303</v>
      </c>
      <c r="BK49" s="54" t="s">
        <v>302</v>
      </c>
      <c r="BL49" s="105" t="s">
        <v>303</v>
      </c>
      <c r="BM49" s="106" t="s">
        <v>302</v>
      </c>
    </row>
    <row r="50" spans="1:65" x14ac:dyDescent="0.25">
      <c r="A50" s="92" t="s">
        <v>279</v>
      </c>
      <c r="B50" s="92">
        <v>9078</v>
      </c>
      <c r="C50" s="92">
        <v>26262</v>
      </c>
      <c r="D50" s="92">
        <v>37409</v>
      </c>
      <c r="E50" s="92">
        <v>106818</v>
      </c>
      <c r="F50" s="76"/>
      <c r="G50" s="76"/>
      <c r="H50" s="92">
        <v>50618</v>
      </c>
      <c r="I50" s="92">
        <v>246630</v>
      </c>
      <c r="J50" s="92">
        <v>83386</v>
      </c>
      <c r="K50" s="92">
        <v>235305</v>
      </c>
      <c r="L50" s="92">
        <v>10770</v>
      </c>
      <c r="M50" s="92">
        <v>30874</v>
      </c>
      <c r="N50" s="76"/>
      <c r="O50" s="76"/>
      <c r="P50" s="91">
        <v>3964.43</v>
      </c>
      <c r="Q50" s="91">
        <v>10212.64</v>
      </c>
      <c r="R50" s="92">
        <v>11757.51</v>
      </c>
      <c r="S50" s="92">
        <v>35282.199999999997</v>
      </c>
      <c r="T50" s="92">
        <v>6440</v>
      </c>
      <c r="U50" s="92">
        <v>34370</v>
      </c>
      <c r="V50" s="92">
        <v>96649</v>
      </c>
      <c r="W50" s="92">
        <v>280339</v>
      </c>
      <c r="X50" s="92">
        <v>74728</v>
      </c>
      <c r="Y50" s="92">
        <v>253421</v>
      </c>
      <c r="Z50" s="92">
        <v>25221</v>
      </c>
      <c r="AA50" s="92">
        <v>123141</v>
      </c>
      <c r="AB50" s="92">
        <v>5882</v>
      </c>
      <c r="AC50" s="92">
        <v>16241</v>
      </c>
      <c r="AD50" s="92">
        <v>3376</v>
      </c>
      <c r="AE50" s="92">
        <v>15511</v>
      </c>
      <c r="AF50" s="92">
        <v>2812.31</v>
      </c>
      <c r="AG50" s="92">
        <v>7690.26</v>
      </c>
      <c r="AH50" s="92">
        <v>24425.38</v>
      </c>
      <c r="AI50" s="92">
        <v>67771.179999999993</v>
      </c>
      <c r="AJ50" s="92">
        <v>65372</v>
      </c>
      <c r="AK50" s="92">
        <v>187804</v>
      </c>
      <c r="AL50" s="92">
        <v>136980.81</v>
      </c>
      <c r="AM50" s="92">
        <v>469587.17</v>
      </c>
      <c r="AN50" s="92">
        <v>1010</v>
      </c>
      <c r="AO50" s="92">
        <v>1859</v>
      </c>
      <c r="AP50" s="92">
        <v>111</v>
      </c>
      <c r="AQ50" s="92">
        <v>354</v>
      </c>
      <c r="AR50" s="76">
        <v>16460</v>
      </c>
      <c r="AS50" s="76">
        <v>75761</v>
      </c>
      <c r="AT50" s="92">
        <v>8035</v>
      </c>
      <c r="AU50" s="92">
        <v>27955</v>
      </c>
      <c r="AV50" s="92">
        <v>31492</v>
      </c>
      <c r="AW50" s="92">
        <v>101650</v>
      </c>
      <c r="AX50" s="92">
        <v>308</v>
      </c>
      <c r="AY50" s="92">
        <v>840</v>
      </c>
      <c r="AZ50" s="92">
        <v>266294</v>
      </c>
      <c r="BA50" s="92">
        <v>766568</v>
      </c>
      <c r="BB50" s="92">
        <v>34554</v>
      </c>
      <c r="BC50" s="92">
        <v>96622</v>
      </c>
      <c r="BD50" s="92">
        <v>370010</v>
      </c>
      <c r="BE50" s="92">
        <v>1155096</v>
      </c>
      <c r="BF50" s="92">
        <v>151593</v>
      </c>
      <c r="BG50" s="92">
        <v>503226</v>
      </c>
      <c r="BH50" s="92">
        <v>118767.8</v>
      </c>
      <c r="BI50" s="92">
        <v>423331.68</v>
      </c>
      <c r="BJ50" s="92">
        <v>4054</v>
      </c>
      <c r="BK50" s="92">
        <v>20606</v>
      </c>
      <c r="BL50" s="68">
        <f t="shared" ref="BL50:BL56" si="8">SUM(B50+D50+F50+H50+J50+L50+N50+P50+R50+T50+V50+X50+Z50+AB50+AD50+AF50+AH50+AJ50+AL50+AN50+AP50+AR50+AT50+AV50+AX50+AZ50+BB50+BD50+BF50+BH50+BJ50)</f>
        <v>1651558.24</v>
      </c>
      <c r="BM50" s="68">
        <f t="shared" ref="BM50:BM56" si="9">SUM(C50+E50+G50+I50+K50+M50+O50+Q50+S50+U50+W50+Y50+AA50+AC50+AE50+AG50+AI50+AK50+AM50+AO50+AQ50+AS50+AU50+AW50+AY50+BA50+BC50+BE50+BG50+BI50+BK50)</f>
        <v>5321128.129999999</v>
      </c>
    </row>
    <row r="51" spans="1:65" x14ac:dyDescent="0.25">
      <c r="A51" s="92" t="s">
        <v>280</v>
      </c>
      <c r="B51" s="92"/>
      <c r="C51" s="92"/>
      <c r="D51" s="92"/>
      <c r="E51" s="92"/>
      <c r="F51" s="76"/>
      <c r="G51" s="76"/>
      <c r="H51" s="92"/>
      <c r="I51" s="92"/>
      <c r="J51" s="92">
        <v>2167</v>
      </c>
      <c r="K51" s="92">
        <v>3994</v>
      </c>
      <c r="L51" s="92"/>
      <c r="M51" s="92"/>
      <c r="N51" s="76"/>
      <c r="O51" s="76"/>
      <c r="P51" s="91">
        <v>160.38</v>
      </c>
      <c r="Q51" s="91">
        <v>288.7</v>
      </c>
      <c r="R51" s="92"/>
      <c r="S51" s="92"/>
      <c r="T51" s="92"/>
      <c r="U51" s="92"/>
      <c r="V51" s="92"/>
      <c r="W51" s="92"/>
      <c r="X51" s="92">
        <v>3573</v>
      </c>
      <c r="Y51" s="92">
        <v>8492</v>
      </c>
      <c r="Z51" s="92">
        <v>50</v>
      </c>
      <c r="AA51" s="92">
        <v>982</v>
      </c>
      <c r="AB51" s="92"/>
      <c r="AC51" s="92"/>
      <c r="AD51" s="92"/>
      <c r="AE51" s="92"/>
      <c r="AF51" s="92"/>
      <c r="AG51" s="92"/>
      <c r="AH51" s="92">
        <v>0</v>
      </c>
      <c r="AI51" s="92">
        <v>0</v>
      </c>
      <c r="AJ51" s="92"/>
      <c r="AK51" s="92"/>
      <c r="AL51" s="92">
        <v>1282.29</v>
      </c>
      <c r="AM51" s="92">
        <v>11411.38</v>
      </c>
      <c r="AN51" s="92"/>
      <c r="AO51" s="92"/>
      <c r="AP51" s="92"/>
      <c r="AQ51" s="92"/>
      <c r="AR51" s="76"/>
      <c r="AS51" s="76"/>
      <c r="AT51" s="92"/>
      <c r="AU51" s="92"/>
      <c r="AV51" s="92"/>
      <c r="AW51" s="92">
        <v>3736</v>
      </c>
      <c r="AX51" s="92"/>
      <c r="AY51" s="92"/>
      <c r="AZ51" s="92"/>
      <c r="BA51" s="92"/>
      <c r="BB51" s="92"/>
      <c r="BC51" s="92"/>
      <c r="BD51" s="92">
        <v>2129</v>
      </c>
      <c r="BE51" s="92">
        <v>6161</v>
      </c>
      <c r="BF51" s="92">
        <v>0</v>
      </c>
      <c r="BG51" s="92">
        <v>8718</v>
      </c>
      <c r="BH51" s="92">
        <v>0</v>
      </c>
      <c r="BI51" s="92">
        <v>0</v>
      </c>
      <c r="BJ51" s="92"/>
      <c r="BK51" s="92"/>
      <c r="BL51" s="68">
        <f t="shared" si="8"/>
        <v>9361.67</v>
      </c>
      <c r="BM51" s="68">
        <f t="shared" si="9"/>
        <v>43783.08</v>
      </c>
    </row>
    <row r="52" spans="1:65" x14ac:dyDescent="0.25">
      <c r="A52" s="92" t="s">
        <v>281</v>
      </c>
      <c r="B52" s="92">
        <v>454</v>
      </c>
      <c r="C52" s="92">
        <v>1313</v>
      </c>
      <c r="D52" s="92">
        <v>8533</v>
      </c>
      <c r="E52" s="92">
        <v>25487</v>
      </c>
      <c r="F52" s="76"/>
      <c r="G52" s="76"/>
      <c r="H52" s="92">
        <v>-8051</v>
      </c>
      <c r="I52" s="92">
        <v>-100488</v>
      </c>
      <c r="J52" s="92">
        <v>16643</v>
      </c>
      <c r="K52" s="92">
        <v>49874</v>
      </c>
      <c r="L52" s="92">
        <v>2321</v>
      </c>
      <c r="M52" s="92">
        <v>6977</v>
      </c>
      <c r="N52" s="76"/>
      <c r="O52" s="76"/>
      <c r="P52" s="91">
        <v>884.77</v>
      </c>
      <c r="Q52" s="91">
        <v>1720.04</v>
      </c>
      <c r="R52" s="92">
        <v>6237.18</v>
      </c>
      <c r="S52" s="92">
        <v>12138.55</v>
      </c>
      <c r="T52" s="92">
        <v>330</v>
      </c>
      <c r="U52" s="92">
        <v>1816</v>
      </c>
      <c r="V52" s="92">
        <v>-34866</v>
      </c>
      <c r="W52" s="92">
        <v>-98553</v>
      </c>
      <c r="X52" s="92">
        <v>14338</v>
      </c>
      <c r="Y52" s="92">
        <v>41669</v>
      </c>
      <c r="Z52" s="92">
        <v>2512</v>
      </c>
      <c r="AA52" s="92">
        <v>12233</v>
      </c>
      <c r="AB52" s="92">
        <v>807</v>
      </c>
      <c r="AC52" s="92">
        <v>2155</v>
      </c>
      <c r="AD52" s="92">
        <v>176</v>
      </c>
      <c r="AE52" s="92">
        <v>818</v>
      </c>
      <c r="AF52" s="92">
        <v>-267.37</v>
      </c>
      <c r="AG52" s="92">
        <v>-666.5</v>
      </c>
      <c r="AH52" s="92">
        <v>1265.68</v>
      </c>
      <c r="AI52" s="92">
        <v>3495.31</v>
      </c>
      <c r="AJ52" s="92">
        <v>14706</v>
      </c>
      <c r="AK52" s="92">
        <v>43534</v>
      </c>
      <c r="AL52" s="92">
        <v>6869.42</v>
      </c>
      <c r="AM52" s="92">
        <v>29508.51</v>
      </c>
      <c r="AN52" s="92">
        <v>-47</v>
      </c>
      <c r="AO52" s="92">
        <v>-76</v>
      </c>
      <c r="AP52" s="92">
        <v>6</v>
      </c>
      <c r="AQ52" s="92">
        <v>18</v>
      </c>
      <c r="AR52" s="76">
        <v>2314</v>
      </c>
      <c r="AS52" s="76">
        <v>10344</v>
      </c>
      <c r="AT52" s="92">
        <v>1267</v>
      </c>
      <c r="AU52" s="92">
        <v>4355</v>
      </c>
      <c r="AV52" s="92">
        <v>28320</v>
      </c>
      <c r="AW52" s="92">
        <v>41862</v>
      </c>
      <c r="AX52" s="92">
        <v>26</v>
      </c>
      <c r="AY52" s="92">
        <v>62</v>
      </c>
      <c r="AZ52" s="92">
        <v>13653</v>
      </c>
      <c r="BA52" s="92">
        <v>39793</v>
      </c>
      <c r="BB52" s="92">
        <v>5435</v>
      </c>
      <c r="BC52" s="92">
        <v>13604</v>
      </c>
      <c r="BD52" s="92">
        <v>44482</v>
      </c>
      <c r="BE52" s="92">
        <v>144048</v>
      </c>
      <c r="BF52" s="92">
        <v>6386</v>
      </c>
      <c r="BG52" s="92">
        <v>21333</v>
      </c>
      <c r="BH52" s="92">
        <v>5938</v>
      </c>
      <c r="BI52" s="92">
        <v>31458</v>
      </c>
      <c r="BJ52" s="92">
        <v>209</v>
      </c>
      <c r="BK52" s="92">
        <v>1053</v>
      </c>
      <c r="BL52" s="68">
        <f t="shared" si="8"/>
        <v>140881.68</v>
      </c>
      <c r="BM52" s="68">
        <f t="shared" si="9"/>
        <v>340884.91</v>
      </c>
    </row>
    <row r="53" spans="1:65" s="7" customFormat="1" x14ac:dyDescent="0.25">
      <c r="A53" s="10" t="s">
        <v>282</v>
      </c>
      <c r="B53" s="10">
        <v>8624</v>
      </c>
      <c r="C53" s="10">
        <v>24949</v>
      </c>
      <c r="D53" s="10">
        <v>28876</v>
      </c>
      <c r="E53" s="10">
        <v>81331</v>
      </c>
      <c r="F53" s="10"/>
      <c r="G53" s="10"/>
      <c r="H53" s="10">
        <v>42568</v>
      </c>
      <c r="I53" s="10">
        <v>146142</v>
      </c>
      <c r="J53" s="10">
        <v>68910</v>
      </c>
      <c r="K53" s="10">
        <v>189425</v>
      </c>
      <c r="L53" s="10">
        <v>8449</v>
      </c>
      <c r="M53" s="10">
        <v>23897</v>
      </c>
      <c r="N53" s="10"/>
      <c r="O53" s="10"/>
      <c r="P53" s="131">
        <v>3240.04</v>
      </c>
      <c r="Q53" s="131">
        <v>8781.2999999999993</v>
      </c>
      <c r="R53" s="10">
        <v>5520.33</v>
      </c>
      <c r="S53" s="10">
        <v>23143.65</v>
      </c>
      <c r="T53" s="10">
        <v>6110</v>
      </c>
      <c r="U53" s="10">
        <v>32554</v>
      </c>
      <c r="V53" s="10">
        <v>61783</v>
      </c>
      <c r="W53" s="10">
        <v>181787</v>
      </c>
      <c r="X53" s="10">
        <v>63963</v>
      </c>
      <c r="Y53" s="10">
        <v>220244</v>
      </c>
      <c r="Z53" s="10">
        <v>22759</v>
      </c>
      <c r="AA53" s="10">
        <v>111890</v>
      </c>
      <c r="AB53" s="10">
        <v>5075</v>
      </c>
      <c r="AC53" s="10">
        <v>14086</v>
      </c>
      <c r="AD53" s="10">
        <v>3200</v>
      </c>
      <c r="AE53" s="10">
        <v>14693</v>
      </c>
      <c r="AF53" s="10">
        <v>2544.94</v>
      </c>
      <c r="AG53" s="10">
        <v>7023.76</v>
      </c>
      <c r="AH53" s="10">
        <v>23159.69</v>
      </c>
      <c r="AI53" s="10">
        <v>64275.86</v>
      </c>
      <c r="AJ53" s="10">
        <v>50667</v>
      </c>
      <c r="AK53" s="10">
        <v>144270</v>
      </c>
      <c r="AL53" s="10">
        <v>131393.69</v>
      </c>
      <c r="AM53" s="10">
        <v>451490.04</v>
      </c>
      <c r="AN53" s="10">
        <v>963</v>
      </c>
      <c r="AO53" s="10">
        <v>1783</v>
      </c>
      <c r="AP53" s="10">
        <v>106</v>
      </c>
      <c r="AQ53" s="10">
        <v>336</v>
      </c>
      <c r="AR53" s="10">
        <v>14146</v>
      </c>
      <c r="AS53" s="10">
        <v>65417</v>
      </c>
      <c r="AT53" s="10">
        <v>6768</v>
      </c>
      <c r="AU53" s="10">
        <v>23600</v>
      </c>
      <c r="AV53" s="10">
        <v>3172</v>
      </c>
      <c r="AW53" s="10">
        <v>63524</v>
      </c>
      <c r="AX53" s="10">
        <v>282</v>
      </c>
      <c r="AY53" s="10">
        <v>778</v>
      </c>
      <c r="AZ53" s="10">
        <v>252642</v>
      </c>
      <c r="BA53" s="10">
        <v>726775</v>
      </c>
      <c r="BB53" s="10">
        <v>29119</v>
      </c>
      <c r="BC53" s="10">
        <v>83018</v>
      </c>
      <c r="BD53" s="10">
        <v>327657</v>
      </c>
      <c r="BE53" s="10">
        <v>1017209</v>
      </c>
      <c r="BF53" s="10">
        <v>145207</v>
      </c>
      <c r="BG53" s="10">
        <v>490611</v>
      </c>
      <c r="BH53" s="10">
        <v>112830</v>
      </c>
      <c r="BI53" s="10">
        <v>391874</v>
      </c>
      <c r="BJ53" s="10">
        <v>3845</v>
      </c>
      <c r="BK53" s="10">
        <v>19553</v>
      </c>
      <c r="BL53" s="63">
        <f t="shared" si="8"/>
        <v>1433579.69</v>
      </c>
      <c r="BM53" s="63">
        <f t="shared" si="9"/>
        <v>4624460.6100000003</v>
      </c>
    </row>
    <row r="54" spans="1:65" x14ac:dyDescent="0.25">
      <c r="A54" s="92" t="s">
        <v>283</v>
      </c>
      <c r="B54" s="92">
        <v>10951</v>
      </c>
      <c r="C54" s="92">
        <v>4851</v>
      </c>
      <c r="D54" s="92">
        <v>50589</v>
      </c>
      <c r="E54" s="92">
        <v>43384</v>
      </c>
      <c r="F54" s="92"/>
      <c r="G54" s="92"/>
      <c r="H54" s="92">
        <v>96695</v>
      </c>
      <c r="I54" s="92">
        <v>83862</v>
      </c>
      <c r="J54" s="92">
        <v>105715</v>
      </c>
      <c r="K54" s="92">
        <v>83032</v>
      </c>
      <c r="L54" s="92">
        <v>16426</v>
      </c>
      <c r="M54" s="92">
        <v>16914</v>
      </c>
      <c r="N54" s="92"/>
      <c r="O54" s="92"/>
      <c r="P54" s="91">
        <v>4890.47</v>
      </c>
      <c r="Q54" s="91">
        <v>4009.93</v>
      </c>
      <c r="R54" s="92">
        <v>15769.38</v>
      </c>
      <c r="S54" s="92">
        <v>14654.08</v>
      </c>
      <c r="T54" s="92">
        <v>19432</v>
      </c>
      <c r="U54" s="92">
        <v>5178</v>
      </c>
      <c r="V54" s="92">
        <v>155629</v>
      </c>
      <c r="W54" s="92">
        <v>164773</v>
      </c>
      <c r="X54" s="92">
        <v>175589</v>
      </c>
      <c r="Y54" s="92">
        <v>139523</v>
      </c>
      <c r="Z54" s="92">
        <v>-1</v>
      </c>
      <c r="AA54" s="92">
        <v>42592</v>
      </c>
      <c r="AB54" s="92">
        <v>12913</v>
      </c>
      <c r="AC54" s="92">
        <v>11987</v>
      </c>
      <c r="AD54" s="92">
        <v>11972</v>
      </c>
      <c r="AE54" s="92">
        <v>10372</v>
      </c>
      <c r="AF54" s="92">
        <v>5142.59</v>
      </c>
      <c r="AG54" s="92">
        <v>4512.2299999999996</v>
      </c>
      <c r="AH54" s="92">
        <v>40508.449999999997</v>
      </c>
      <c r="AI54" s="92">
        <v>35350.019999999997</v>
      </c>
      <c r="AJ54" s="92">
        <v>84021</v>
      </c>
      <c r="AK54" s="92">
        <v>63826</v>
      </c>
      <c r="AL54" s="92">
        <v>281167.02</v>
      </c>
      <c r="AM54" s="92">
        <v>258965.72</v>
      </c>
      <c r="AN54" s="92">
        <v>3573</v>
      </c>
      <c r="AO54" s="92">
        <v>3981</v>
      </c>
      <c r="AP54" s="92">
        <v>198</v>
      </c>
      <c r="AQ54" s="92">
        <v>709</v>
      </c>
      <c r="AR54" s="92">
        <v>38280</v>
      </c>
      <c r="AS54" s="92">
        <v>21415</v>
      </c>
      <c r="AT54" s="92">
        <v>16796</v>
      </c>
      <c r="AU54" s="92">
        <v>14831</v>
      </c>
      <c r="AV54" s="92">
        <v>71959</v>
      </c>
      <c r="AW54" s="92">
        <v>68193</v>
      </c>
      <c r="AX54" s="92">
        <v>557</v>
      </c>
      <c r="AY54" s="92">
        <v>396</v>
      </c>
      <c r="AZ54" s="92">
        <v>518605</v>
      </c>
      <c r="BA54" s="92">
        <v>506830</v>
      </c>
      <c r="BB54" s="92">
        <v>62668</v>
      </c>
      <c r="BC54" s="92">
        <v>53906</v>
      </c>
      <c r="BD54" s="92">
        <v>488334</v>
      </c>
      <c r="BE54" s="92">
        <v>376874</v>
      </c>
      <c r="BF54" s="92">
        <v>0</v>
      </c>
      <c r="BG54" s="92"/>
      <c r="BH54" s="92">
        <v>296522</v>
      </c>
      <c r="BI54" s="92">
        <v>292241</v>
      </c>
      <c r="BJ54" s="92">
        <v>13408</v>
      </c>
      <c r="BK54" s="92">
        <v>9756</v>
      </c>
      <c r="BL54" s="68">
        <f t="shared" si="8"/>
        <v>2598308.91</v>
      </c>
      <c r="BM54" s="68">
        <f t="shared" si="9"/>
        <v>2336917.98</v>
      </c>
    </row>
    <row r="55" spans="1:65" x14ac:dyDescent="0.25">
      <c r="A55" s="2" t="s">
        <v>284</v>
      </c>
      <c r="B55" s="92">
        <v>12051</v>
      </c>
      <c r="C55" s="92">
        <v>12051</v>
      </c>
      <c r="D55" s="92">
        <v>54220</v>
      </c>
      <c r="E55" s="92">
        <v>54220</v>
      </c>
      <c r="F55" s="92"/>
      <c r="G55" s="92"/>
      <c r="H55" s="92">
        <v>92886</v>
      </c>
      <c r="I55" s="92">
        <v>92886</v>
      </c>
      <c r="J55" s="92">
        <v>119844</v>
      </c>
      <c r="K55" s="92">
        <v>119844</v>
      </c>
      <c r="L55" s="92">
        <v>17424</v>
      </c>
      <c r="M55" s="92">
        <v>17424</v>
      </c>
      <c r="N55" s="92"/>
      <c r="O55" s="92"/>
      <c r="P55" s="91">
        <v>5701.73</v>
      </c>
      <c r="Q55" s="91">
        <v>5701.73</v>
      </c>
      <c r="R55" s="92">
        <v>11788.09</v>
      </c>
      <c r="S55" s="92">
        <v>11788.09</v>
      </c>
      <c r="T55" s="92">
        <v>17076</v>
      </c>
      <c r="U55" s="92">
        <v>17076</v>
      </c>
      <c r="V55" s="92">
        <v>-150662</v>
      </c>
      <c r="W55" s="92">
        <v>-150662</v>
      </c>
      <c r="X55" s="92">
        <v>168260</v>
      </c>
      <c r="Y55" s="92">
        <v>168260</v>
      </c>
      <c r="Z55" s="92">
        <v>-8174</v>
      </c>
      <c r="AA55" s="92">
        <v>51137</v>
      </c>
      <c r="AB55" s="92">
        <v>13949</v>
      </c>
      <c r="AC55" s="92">
        <v>13949</v>
      </c>
      <c r="AD55" s="92">
        <v>10003</v>
      </c>
      <c r="AE55" s="92">
        <v>10003</v>
      </c>
      <c r="AF55" s="92">
        <v>-5384.47</v>
      </c>
      <c r="AG55" s="92">
        <v>-5384.47</v>
      </c>
      <c r="AH55" s="92">
        <v>42755.39</v>
      </c>
      <c r="AI55" s="92">
        <v>42755.39</v>
      </c>
      <c r="AJ55" s="92">
        <v>93667</v>
      </c>
      <c r="AK55" s="92">
        <v>93667</v>
      </c>
      <c r="AL55" s="92">
        <v>285850.78000000003</v>
      </c>
      <c r="AM55" s="92">
        <v>285850.78000000003</v>
      </c>
      <c r="AN55" s="92">
        <v>-3621</v>
      </c>
      <c r="AO55" s="92">
        <v>-3621</v>
      </c>
      <c r="AP55" s="92">
        <v>209</v>
      </c>
      <c r="AQ55" s="92">
        <v>209</v>
      </c>
      <c r="AR55" s="92">
        <v>33719</v>
      </c>
      <c r="AS55" s="92">
        <v>33719</v>
      </c>
      <c r="AT55" s="92">
        <v>15571</v>
      </c>
      <c r="AU55" s="92">
        <v>15571</v>
      </c>
      <c r="AV55" s="92">
        <v>47048</v>
      </c>
      <c r="AW55" s="92">
        <v>47048</v>
      </c>
      <c r="AX55" s="92">
        <v>594</v>
      </c>
      <c r="AY55" s="92">
        <v>594</v>
      </c>
      <c r="AZ55" s="92">
        <v>521124</v>
      </c>
      <c r="BA55" s="92">
        <v>521124</v>
      </c>
      <c r="BB55" s="92">
        <v>66661</v>
      </c>
      <c r="BC55" s="92">
        <v>66661</v>
      </c>
      <c r="BD55" s="92">
        <v>483255</v>
      </c>
      <c r="BE55" s="92">
        <v>483255</v>
      </c>
      <c r="BF55" s="92">
        <v>21399</v>
      </c>
      <c r="BG55" s="92">
        <v>74683</v>
      </c>
      <c r="BH55" s="92">
        <v>292514</v>
      </c>
      <c r="BI55" s="92">
        <v>292514</v>
      </c>
      <c r="BJ55" s="92">
        <v>-10930</v>
      </c>
      <c r="BK55" s="92">
        <v>-10930</v>
      </c>
      <c r="BL55" s="68">
        <f t="shared" si="8"/>
        <v>2248798.52</v>
      </c>
      <c r="BM55" s="68">
        <f t="shared" si="9"/>
        <v>2361393.52</v>
      </c>
    </row>
    <row r="56" spans="1:65" s="7" customFormat="1" x14ac:dyDescent="0.25">
      <c r="A56" s="10" t="s">
        <v>192</v>
      </c>
      <c r="B56" s="10">
        <v>7524</v>
      </c>
      <c r="C56" s="10">
        <v>17749</v>
      </c>
      <c r="D56" s="10">
        <v>25245</v>
      </c>
      <c r="E56" s="10">
        <v>70495</v>
      </c>
      <c r="F56" s="10"/>
      <c r="G56" s="10"/>
      <c r="H56" s="10">
        <v>46377</v>
      </c>
      <c r="I56" s="10">
        <v>137118</v>
      </c>
      <c r="J56" s="10">
        <v>54781</v>
      </c>
      <c r="K56" s="10">
        <v>152613</v>
      </c>
      <c r="L56" s="10">
        <v>7451</v>
      </c>
      <c r="M56" s="10">
        <v>23387</v>
      </c>
      <c r="N56" s="10"/>
      <c r="O56" s="10"/>
      <c r="P56" s="131">
        <v>2428.7800000000002</v>
      </c>
      <c r="Q56" s="131">
        <v>7089.5</v>
      </c>
      <c r="R56" s="10">
        <v>9501.6200000000008</v>
      </c>
      <c r="S56" s="10">
        <v>26009.64</v>
      </c>
      <c r="T56" s="10">
        <v>8466</v>
      </c>
      <c r="U56" s="10">
        <v>20656</v>
      </c>
      <c r="V56" s="10">
        <v>66750</v>
      </c>
      <c r="W56" s="10">
        <v>195899</v>
      </c>
      <c r="X56" s="10">
        <v>71292</v>
      </c>
      <c r="Y56" s="10">
        <v>206333</v>
      </c>
      <c r="Z56" s="10">
        <v>30932</v>
      </c>
      <c r="AA56" s="10">
        <v>103345</v>
      </c>
      <c r="AB56" s="10">
        <v>4038</v>
      </c>
      <c r="AC56" s="10">
        <v>12123</v>
      </c>
      <c r="AD56" s="10">
        <v>5169</v>
      </c>
      <c r="AE56" s="10">
        <v>15061</v>
      </c>
      <c r="AF56" s="10">
        <v>2303.06</v>
      </c>
      <c r="AG56" s="10">
        <v>6151.52</v>
      </c>
      <c r="AH56" s="10">
        <v>20912.759999999998</v>
      </c>
      <c r="AI56" s="10">
        <v>56870.5</v>
      </c>
      <c r="AJ56" s="10">
        <v>41020</v>
      </c>
      <c r="AK56" s="10">
        <v>114430</v>
      </c>
      <c r="AL56" s="10">
        <v>126709.92</v>
      </c>
      <c r="AM56" s="10">
        <v>424604.98</v>
      </c>
      <c r="AN56" s="10">
        <v>915</v>
      </c>
      <c r="AO56" s="10">
        <v>2142</v>
      </c>
      <c r="AP56" s="10">
        <v>95</v>
      </c>
      <c r="AQ56" s="10">
        <v>836</v>
      </c>
      <c r="AR56" s="10">
        <v>18707</v>
      </c>
      <c r="AS56" s="10">
        <v>53113</v>
      </c>
      <c r="AT56" s="10">
        <v>7993</v>
      </c>
      <c r="AU56" s="10">
        <v>22859</v>
      </c>
      <c r="AV56" s="10">
        <v>28083</v>
      </c>
      <c r="AW56" s="10">
        <v>84669</v>
      </c>
      <c r="AX56" s="10">
        <v>245</v>
      </c>
      <c r="AY56" s="10">
        <v>580</v>
      </c>
      <c r="AZ56" s="10">
        <v>250123</v>
      </c>
      <c r="BA56" s="10">
        <v>712480</v>
      </c>
      <c r="BB56" s="10">
        <v>25126</v>
      </c>
      <c r="BC56" s="10">
        <v>70263</v>
      </c>
      <c r="BD56" s="10">
        <v>332737</v>
      </c>
      <c r="BE56" s="10">
        <v>910828</v>
      </c>
      <c r="BF56" s="10">
        <v>123808</v>
      </c>
      <c r="BG56" s="10">
        <v>415927</v>
      </c>
      <c r="BH56" s="10">
        <v>116837</v>
      </c>
      <c r="BI56" s="10">
        <v>391600</v>
      </c>
      <c r="BJ56" s="10">
        <v>6323</v>
      </c>
      <c r="BK56" s="10">
        <v>18379</v>
      </c>
      <c r="BL56" s="63">
        <f t="shared" si="8"/>
        <v>1441893.1400000001</v>
      </c>
      <c r="BM56" s="63">
        <f t="shared" si="9"/>
        <v>4273611.1400000006</v>
      </c>
    </row>
    <row r="58" spans="1:65" x14ac:dyDescent="0.25">
      <c r="A58" s="23" t="s">
        <v>187</v>
      </c>
    </row>
    <row r="59" spans="1:65" x14ac:dyDescent="0.25">
      <c r="A59" s="1" t="s">
        <v>0</v>
      </c>
      <c r="B59" s="153" t="s">
        <v>1</v>
      </c>
      <c r="C59" s="154"/>
      <c r="D59" s="153" t="s">
        <v>234</v>
      </c>
      <c r="E59" s="154"/>
      <c r="F59" s="153" t="s">
        <v>2</v>
      </c>
      <c r="G59" s="154"/>
      <c r="H59" s="153" t="s">
        <v>3</v>
      </c>
      <c r="I59" s="154"/>
      <c r="J59" s="153" t="s">
        <v>243</v>
      </c>
      <c r="K59" s="154"/>
      <c r="L59" s="153" t="s">
        <v>235</v>
      </c>
      <c r="M59" s="154"/>
      <c r="N59" s="153" t="s">
        <v>5</v>
      </c>
      <c r="O59" s="154"/>
      <c r="P59" s="153" t="s">
        <v>4</v>
      </c>
      <c r="Q59" s="154"/>
      <c r="R59" s="153" t="s">
        <v>6</v>
      </c>
      <c r="S59" s="154"/>
      <c r="T59" s="153" t="s">
        <v>246</v>
      </c>
      <c r="U59" s="154"/>
      <c r="V59" s="153" t="s">
        <v>7</v>
      </c>
      <c r="W59" s="154"/>
      <c r="X59" s="153" t="s">
        <v>8</v>
      </c>
      <c r="Y59" s="154"/>
      <c r="Z59" s="153" t="s">
        <v>9</v>
      </c>
      <c r="AA59" s="154"/>
      <c r="AB59" s="153" t="s">
        <v>242</v>
      </c>
      <c r="AC59" s="154"/>
      <c r="AD59" s="153" t="s">
        <v>10</v>
      </c>
      <c r="AE59" s="154"/>
      <c r="AF59" s="153" t="s">
        <v>11</v>
      </c>
      <c r="AG59" s="154"/>
      <c r="AH59" s="153" t="s">
        <v>236</v>
      </c>
      <c r="AI59" s="154"/>
      <c r="AJ59" s="153" t="s">
        <v>245</v>
      </c>
      <c r="AK59" s="154"/>
      <c r="AL59" s="153" t="s">
        <v>12</v>
      </c>
      <c r="AM59" s="154"/>
      <c r="AN59" s="153" t="s">
        <v>237</v>
      </c>
      <c r="AO59" s="154"/>
      <c r="AP59" s="153" t="s">
        <v>238</v>
      </c>
      <c r="AQ59" s="154"/>
      <c r="AR59" s="153" t="s">
        <v>241</v>
      </c>
      <c r="AS59" s="154"/>
      <c r="AT59" s="153" t="s">
        <v>13</v>
      </c>
      <c r="AU59" s="154"/>
      <c r="AV59" s="153" t="s">
        <v>14</v>
      </c>
      <c r="AW59" s="154"/>
      <c r="AX59" s="153" t="s">
        <v>15</v>
      </c>
      <c r="AY59" s="154"/>
      <c r="AZ59" s="153" t="s">
        <v>16</v>
      </c>
      <c r="BA59" s="154"/>
      <c r="BB59" s="153" t="s">
        <v>17</v>
      </c>
      <c r="BC59" s="154"/>
      <c r="BD59" s="153" t="s">
        <v>239</v>
      </c>
      <c r="BE59" s="154"/>
      <c r="BF59" s="153" t="s">
        <v>240</v>
      </c>
      <c r="BG59" s="154"/>
      <c r="BH59" s="153" t="s">
        <v>18</v>
      </c>
      <c r="BI59" s="154"/>
      <c r="BJ59" s="153" t="s">
        <v>19</v>
      </c>
      <c r="BK59" s="154"/>
      <c r="BL59" s="155" t="s">
        <v>20</v>
      </c>
      <c r="BM59" s="156"/>
    </row>
    <row r="60" spans="1:65" ht="30" x14ac:dyDescent="0.25">
      <c r="A60" s="1"/>
      <c r="B60" s="53" t="s">
        <v>303</v>
      </c>
      <c r="C60" s="54" t="s">
        <v>302</v>
      </c>
      <c r="D60" s="53" t="s">
        <v>303</v>
      </c>
      <c r="E60" s="54" t="s">
        <v>302</v>
      </c>
      <c r="F60" s="53" t="s">
        <v>303</v>
      </c>
      <c r="G60" s="54" t="s">
        <v>302</v>
      </c>
      <c r="H60" s="53" t="s">
        <v>303</v>
      </c>
      <c r="I60" s="54" t="s">
        <v>302</v>
      </c>
      <c r="J60" s="53" t="s">
        <v>303</v>
      </c>
      <c r="K60" s="54" t="s">
        <v>302</v>
      </c>
      <c r="L60" s="53" t="s">
        <v>303</v>
      </c>
      <c r="M60" s="54" t="s">
        <v>302</v>
      </c>
      <c r="N60" s="53" t="s">
        <v>303</v>
      </c>
      <c r="O60" s="54" t="s">
        <v>302</v>
      </c>
      <c r="P60" s="53" t="s">
        <v>303</v>
      </c>
      <c r="Q60" s="54" t="s">
        <v>302</v>
      </c>
      <c r="R60" s="53" t="s">
        <v>303</v>
      </c>
      <c r="S60" s="54" t="s">
        <v>302</v>
      </c>
      <c r="T60" s="53" t="s">
        <v>303</v>
      </c>
      <c r="U60" s="54" t="s">
        <v>302</v>
      </c>
      <c r="V60" s="53" t="s">
        <v>303</v>
      </c>
      <c r="W60" s="54" t="s">
        <v>302</v>
      </c>
      <c r="X60" s="53" t="s">
        <v>303</v>
      </c>
      <c r="Y60" s="54" t="s">
        <v>302</v>
      </c>
      <c r="Z60" s="53" t="s">
        <v>303</v>
      </c>
      <c r="AA60" s="54" t="s">
        <v>302</v>
      </c>
      <c r="AB60" s="53" t="s">
        <v>303</v>
      </c>
      <c r="AC60" s="54" t="s">
        <v>302</v>
      </c>
      <c r="AD60" s="53" t="s">
        <v>303</v>
      </c>
      <c r="AE60" s="54" t="s">
        <v>302</v>
      </c>
      <c r="AF60" s="53" t="s">
        <v>303</v>
      </c>
      <c r="AG60" s="54" t="s">
        <v>302</v>
      </c>
      <c r="AH60" s="53" t="s">
        <v>303</v>
      </c>
      <c r="AI60" s="54" t="s">
        <v>302</v>
      </c>
      <c r="AJ60" s="53" t="s">
        <v>303</v>
      </c>
      <c r="AK60" s="54" t="s">
        <v>302</v>
      </c>
      <c r="AL60" s="53" t="s">
        <v>303</v>
      </c>
      <c r="AM60" s="54" t="s">
        <v>302</v>
      </c>
      <c r="AN60" s="53" t="s">
        <v>303</v>
      </c>
      <c r="AO60" s="54" t="s">
        <v>302</v>
      </c>
      <c r="AP60" s="53" t="s">
        <v>303</v>
      </c>
      <c r="AQ60" s="54" t="s">
        <v>302</v>
      </c>
      <c r="AR60" s="53" t="s">
        <v>303</v>
      </c>
      <c r="AS60" s="54" t="s">
        <v>302</v>
      </c>
      <c r="AT60" s="53" t="s">
        <v>303</v>
      </c>
      <c r="AU60" s="54" t="s">
        <v>302</v>
      </c>
      <c r="AV60" s="53" t="s">
        <v>303</v>
      </c>
      <c r="AW60" s="54" t="s">
        <v>302</v>
      </c>
      <c r="AX60" s="53" t="s">
        <v>303</v>
      </c>
      <c r="AY60" s="54" t="s">
        <v>302</v>
      </c>
      <c r="AZ60" s="53" t="s">
        <v>303</v>
      </c>
      <c r="BA60" s="54" t="s">
        <v>302</v>
      </c>
      <c r="BB60" s="53" t="s">
        <v>303</v>
      </c>
      <c r="BC60" s="54" t="s">
        <v>302</v>
      </c>
      <c r="BD60" s="53" t="s">
        <v>303</v>
      </c>
      <c r="BE60" s="54" t="s">
        <v>302</v>
      </c>
      <c r="BF60" s="53" t="s">
        <v>303</v>
      </c>
      <c r="BG60" s="54" t="s">
        <v>302</v>
      </c>
      <c r="BH60" s="53" t="s">
        <v>303</v>
      </c>
      <c r="BI60" s="54" t="s">
        <v>302</v>
      </c>
      <c r="BJ60" s="53" t="s">
        <v>303</v>
      </c>
      <c r="BK60" s="54" t="s">
        <v>302</v>
      </c>
      <c r="BL60" s="105" t="s">
        <v>303</v>
      </c>
      <c r="BM60" s="106" t="s">
        <v>302</v>
      </c>
    </row>
    <row r="61" spans="1:65" x14ac:dyDescent="0.25">
      <c r="A61" s="92" t="s">
        <v>279</v>
      </c>
      <c r="B61" s="92">
        <v>77</v>
      </c>
      <c r="C61" s="92">
        <v>420</v>
      </c>
      <c r="D61" s="92">
        <v>3211</v>
      </c>
      <c r="E61" s="92">
        <v>10168</v>
      </c>
      <c r="F61" s="76"/>
      <c r="G61" s="76"/>
      <c r="H61" s="92">
        <v>5034</v>
      </c>
      <c r="I61" s="92">
        <v>14830</v>
      </c>
      <c r="J61" s="92">
        <v>11037</v>
      </c>
      <c r="K61" s="92">
        <v>25292</v>
      </c>
      <c r="L61" s="92">
        <v>7086</v>
      </c>
      <c r="M61" s="92">
        <v>18426</v>
      </c>
      <c r="N61" s="76"/>
      <c r="O61" s="76"/>
      <c r="P61" s="91">
        <v>81.28</v>
      </c>
      <c r="Q61" s="91">
        <v>406.22</v>
      </c>
      <c r="R61" s="92">
        <v>2017.32</v>
      </c>
      <c r="S61" s="92">
        <v>6201.9</v>
      </c>
      <c r="T61" s="92">
        <v>3517</v>
      </c>
      <c r="U61" s="92">
        <v>19872</v>
      </c>
      <c r="V61" s="92">
        <v>15161</v>
      </c>
      <c r="W61" s="92">
        <v>44244</v>
      </c>
      <c r="X61" s="92">
        <v>11039</v>
      </c>
      <c r="Y61" s="92">
        <v>29963</v>
      </c>
      <c r="Z61" s="92">
        <v>2368</v>
      </c>
      <c r="AA61" s="92">
        <v>8140</v>
      </c>
      <c r="AB61" s="92">
        <v>1127</v>
      </c>
      <c r="AC61" s="92">
        <v>2740</v>
      </c>
      <c r="AD61" s="92">
        <v>484</v>
      </c>
      <c r="AE61" s="92">
        <v>1633</v>
      </c>
      <c r="AF61" s="92">
        <v>179.79</v>
      </c>
      <c r="AG61" s="92">
        <v>432.15</v>
      </c>
      <c r="AH61" s="92">
        <v>381.84</v>
      </c>
      <c r="AI61" s="92">
        <v>1012.05</v>
      </c>
      <c r="AJ61" s="92">
        <v>1491</v>
      </c>
      <c r="AK61" s="92">
        <v>3956</v>
      </c>
      <c r="AL61" s="92">
        <v>3549.73</v>
      </c>
      <c r="AM61" s="92">
        <v>18345.09</v>
      </c>
      <c r="AN61" s="92">
        <v>78</v>
      </c>
      <c r="AO61" s="92">
        <v>282</v>
      </c>
      <c r="AP61" s="92">
        <v>3</v>
      </c>
      <c r="AQ61" s="92">
        <v>17</v>
      </c>
      <c r="AR61" s="76">
        <v>2242</v>
      </c>
      <c r="AS61" s="76">
        <v>6786</v>
      </c>
      <c r="AT61" s="92">
        <v>969</v>
      </c>
      <c r="AU61" s="92">
        <v>3473</v>
      </c>
      <c r="AV61" s="92">
        <v>27346</v>
      </c>
      <c r="AW61" s="92">
        <v>60000</v>
      </c>
      <c r="AX61" s="92">
        <v>833</v>
      </c>
      <c r="AY61" s="92">
        <v>1756</v>
      </c>
      <c r="AZ61" s="92">
        <v>4145</v>
      </c>
      <c r="BA61" s="92">
        <v>10848</v>
      </c>
      <c r="BB61" s="92">
        <v>3192</v>
      </c>
      <c r="BC61" s="92">
        <v>9847</v>
      </c>
      <c r="BD61" s="92">
        <v>11464</v>
      </c>
      <c r="BE61" s="92">
        <v>108609</v>
      </c>
      <c r="BF61" s="92">
        <v>7156</v>
      </c>
      <c r="BG61" s="92">
        <v>23425</v>
      </c>
      <c r="BH61" s="92">
        <v>9530.74</v>
      </c>
      <c r="BI61" s="92">
        <v>33339.97</v>
      </c>
      <c r="BJ61" s="92">
        <v>6425</v>
      </c>
      <c r="BK61" s="92">
        <v>27098</v>
      </c>
      <c r="BL61" s="68">
        <f t="shared" ref="BL61:BL67" si="10">SUM(B61+D61+F61+H61+J61+L61+N61+P61+R61+T61+V61+X61+Z61+AB61+AD61+AF61+AH61+AJ61+AL61+AN61+AP61+AR61+AT61+AV61+AX61+AZ61+BB61+BD61+BF61+BH61+BJ61)</f>
        <v>141225.69999999998</v>
      </c>
      <c r="BM61" s="68">
        <f t="shared" ref="BM61:BM67" si="11">SUM(C61+E61+G61+I61+K61+M61+O61+Q61+S61+U61+W61+Y61+AA61+AC61+AE61+AG61+AI61+AK61+AM61+AO61+AQ61+AS61+AU61+AW61+AY61+BA61+BC61+BE61+BG61+BI61+BK61)</f>
        <v>491562.38</v>
      </c>
    </row>
    <row r="62" spans="1:65" x14ac:dyDescent="0.25">
      <c r="A62" s="92" t="s">
        <v>280</v>
      </c>
      <c r="B62" s="92"/>
      <c r="C62" s="92"/>
      <c r="D62" s="92"/>
      <c r="E62" s="92"/>
      <c r="F62" s="76"/>
      <c r="G62" s="76"/>
      <c r="H62" s="92">
        <v>1</v>
      </c>
      <c r="I62" s="92">
        <v>1</v>
      </c>
      <c r="J62" s="92"/>
      <c r="K62" s="92"/>
      <c r="L62" s="92"/>
      <c r="M62" s="92"/>
      <c r="N62" s="76"/>
      <c r="O62" s="76"/>
      <c r="P62" s="91"/>
      <c r="Q62" s="91"/>
      <c r="R62" s="92"/>
      <c r="S62" s="92"/>
      <c r="T62" s="92"/>
      <c r="U62" s="92"/>
      <c r="V62" s="92"/>
      <c r="W62" s="92">
        <v>32</v>
      </c>
      <c r="X62" s="92">
        <v>3</v>
      </c>
      <c r="Y62" s="92">
        <v>4</v>
      </c>
      <c r="Z62" s="92">
        <v>24</v>
      </c>
      <c r="AA62" s="92">
        <v>1757</v>
      </c>
      <c r="AB62" s="92"/>
      <c r="AC62" s="92"/>
      <c r="AD62" s="92"/>
      <c r="AE62" s="92"/>
      <c r="AF62" s="92"/>
      <c r="AG62" s="92"/>
      <c r="AH62" s="92">
        <v>0</v>
      </c>
      <c r="AI62" s="92">
        <v>0</v>
      </c>
      <c r="AJ62" s="92"/>
      <c r="AK62" s="92"/>
      <c r="AL62" s="92"/>
      <c r="AM62" s="92"/>
      <c r="AN62" s="92"/>
      <c r="AO62" s="92"/>
      <c r="AP62" s="92"/>
      <c r="AQ62" s="92"/>
      <c r="AR62" s="76"/>
      <c r="AS62" s="76"/>
      <c r="AT62" s="92">
        <v>192</v>
      </c>
      <c r="AU62" s="92">
        <v>1552</v>
      </c>
      <c r="AV62" s="92"/>
      <c r="AW62" s="92"/>
      <c r="AX62" s="92"/>
      <c r="AY62" s="92"/>
      <c r="AZ62" s="92"/>
      <c r="BA62" s="92"/>
      <c r="BB62" s="92"/>
      <c r="BC62" s="92"/>
      <c r="BD62" s="92">
        <v>104</v>
      </c>
      <c r="BE62" s="92">
        <v>262</v>
      </c>
      <c r="BF62" s="92">
        <v>1278</v>
      </c>
      <c r="BG62" s="92">
        <v>3446</v>
      </c>
      <c r="BH62" s="92">
        <v>0</v>
      </c>
      <c r="BI62" s="92">
        <v>0</v>
      </c>
      <c r="BJ62" s="92"/>
      <c r="BK62" s="92"/>
      <c r="BL62" s="68">
        <f t="shared" si="10"/>
        <v>1602</v>
      </c>
      <c r="BM62" s="68">
        <f t="shared" si="11"/>
        <v>7054</v>
      </c>
    </row>
    <row r="63" spans="1:65" x14ac:dyDescent="0.25">
      <c r="A63" s="92" t="s">
        <v>281</v>
      </c>
      <c r="B63" s="92">
        <v>9</v>
      </c>
      <c r="C63" s="92">
        <v>43</v>
      </c>
      <c r="D63" s="92">
        <v>365</v>
      </c>
      <c r="E63" s="92">
        <v>856</v>
      </c>
      <c r="F63" s="76"/>
      <c r="G63" s="76"/>
      <c r="H63" s="92">
        <v>-342</v>
      </c>
      <c r="I63" s="92">
        <v>-1023</v>
      </c>
      <c r="J63" s="92">
        <v>612</v>
      </c>
      <c r="K63" s="92">
        <v>1673</v>
      </c>
      <c r="L63" s="92">
        <v>2154</v>
      </c>
      <c r="M63" s="92">
        <v>5629</v>
      </c>
      <c r="N63" s="76"/>
      <c r="O63" s="76"/>
      <c r="P63" s="91">
        <v>-24.61</v>
      </c>
      <c r="Q63" s="91">
        <v>44.5</v>
      </c>
      <c r="R63" s="92">
        <v>394.67</v>
      </c>
      <c r="S63" s="92">
        <v>870.17</v>
      </c>
      <c r="T63" s="92">
        <v>918</v>
      </c>
      <c r="U63" s="92">
        <v>8872</v>
      </c>
      <c r="V63" s="92">
        <v>-6698</v>
      </c>
      <c r="W63" s="92">
        <v>-19275</v>
      </c>
      <c r="X63" s="92">
        <v>1882</v>
      </c>
      <c r="Y63" s="92">
        <v>5262</v>
      </c>
      <c r="Z63" s="92">
        <v>213</v>
      </c>
      <c r="AA63" s="92">
        <v>699</v>
      </c>
      <c r="AB63" s="92">
        <v>212</v>
      </c>
      <c r="AC63" s="92">
        <v>524</v>
      </c>
      <c r="AD63" s="92">
        <v>32</v>
      </c>
      <c r="AE63" s="92">
        <v>127</v>
      </c>
      <c r="AF63" s="92">
        <v>-25.34</v>
      </c>
      <c r="AG63" s="92">
        <v>-53.49</v>
      </c>
      <c r="AH63" s="92">
        <v>32.56</v>
      </c>
      <c r="AI63" s="92">
        <v>108.84</v>
      </c>
      <c r="AJ63" s="92">
        <v>360</v>
      </c>
      <c r="AK63" s="92">
        <v>752</v>
      </c>
      <c r="AL63" s="92">
        <v>304.8</v>
      </c>
      <c r="AM63" s="92">
        <v>1087.77</v>
      </c>
      <c r="AN63" s="92">
        <v>-42</v>
      </c>
      <c r="AO63" s="92">
        <v>-168</v>
      </c>
      <c r="AP63" s="92">
        <v>3</v>
      </c>
      <c r="AQ63" s="92">
        <v>13</v>
      </c>
      <c r="AR63" s="76">
        <v>1029</v>
      </c>
      <c r="AS63" s="76">
        <v>2658</v>
      </c>
      <c r="AT63" s="92">
        <v>199</v>
      </c>
      <c r="AU63" s="92">
        <v>1561</v>
      </c>
      <c r="AV63" s="92">
        <v>16229</v>
      </c>
      <c r="AW63" s="92">
        <v>21734</v>
      </c>
      <c r="AX63" s="92">
        <v>468</v>
      </c>
      <c r="AY63" s="92">
        <v>805</v>
      </c>
      <c r="AZ63" s="92">
        <v>1109</v>
      </c>
      <c r="BA63" s="92">
        <v>4034</v>
      </c>
      <c r="BB63" s="92">
        <v>197</v>
      </c>
      <c r="BC63" s="92">
        <v>649</v>
      </c>
      <c r="BD63" s="92">
        <v>625</v>
      </c>
      <c r="BE63" s="92">
        <v>5490</v>
      </c>
      <c r="BF63" s="92">
        <v>1615</v>
      </c>
      <c r="BG63" s="92">
        <v>5477</v>
      </c>
      <c r="BH63" s="92">
        <v>4915</v>
      </c>
      <c r="BI63" s="92">
        <v>17665</v>
      </c>
      <c r="BJ63" s="92">
        <v>886</v>
      </c>
      <c r="BK63" s="92">
        <v>17784</v>
      </c>
      <c r="BL63" s="68">
        <f t="shared" si="10"/>
        <v>27632.080000000002</v>
      </c>
      <c r="BM63" s="68">
        <f t="shared" si="11"/>
        <v>83898.790000000008</v>
      </c>
    </row>
    <row r="64" spans="1:65" s="7" customFormat="1" x14ac:dyDescent="0.25">
      <c r="A64" s="10" t="s">
        <v>282</v>
      </c>
      <c r="B64" s="10">
        <v>68</v>
      </c>
      <c r="C64" s="10">
        <v>377</v>
      </c>
      <c r="D64" s="10">
        <v>2846</v>
      </c>
      <c r="E64" s="10">
        <v>9312</v>
      </c>
      <c r="F64" s="10"/>
      <c r="G64" s="10"/>
      <c r="H64" s="10">
        <v>4692</v>
      </c>
      <c r="I64" s="10">
        <v>13808</v>
      </c>
      <c r="J64" s="10">
        <v>10425</v>
      </c>
      <c r="K64" s="10">
        <v>23619</v>
      </c>
      <c r="L64" s="10">
        <v>4932</v>
      </c>
      <c r="M64" s="10">
        <v>12797</v>
      </c>
      <c r="N64" s="10"/>
      <c r="O64" s="10"/>
      <c r="P64" s="131">
        <v>105.89</v>
      </c>
      <c r="Q64" s="131">
        <v>361.72</v>
      </c>
      <c r="R64" s="10">
        <v>1622.65</v>
      </c>
      <c r="S64" s="10">
        <v>5331.73</v>
      </c>
      <c r="T64" s="10">
        <v>2599</v>
      </c>
      <c r="U64" s="10">
        <v>11000</v>
      </c>
      <c r="V64" s="10">
        <v>8464</v>
      </c>
      <c r="W64" s="10">
        <v>25001</v>
      </c>
      <c r="X64" s="10">
        <v>9160</v>
      </c>
      <c r="Y64" s="10">
        <v>24705</v>
      </c>
      <c r="Z64" s="10">
        <v>2179</v>
      </c>
      <c r="AA64" s="10">
        <v>9198</v>
      </c>
      <c r="AB64" s="10">
        <v>916</v>
      </c>
      <c r="AC64" s="10">
        <v>2216</v>
      </c>
      <c r="AD64" s="10">
        <v>452</v>
      </c>
      <c r="AE64" s="10">
        <v>1506</v>
      </c>
      <c r="AF64" s="10">
        <v>154.44999999999999</v>
      </c>
      <c r="AG64" s="10">
        <v>378.66</v>
      </c>
      <c r="AH64" s="10">
        <v>349.28</v>
      </c>
      <c r="AI64" s="10">
        <v>903.21</v>
      </c>
      <c r="AJ64" s="10">
        <v>1131</v>
      </c>
      <c r="AK64" s="10">
        <v>3204</v>
      </c>
      <c r="AL64" s="10">
        <v>3244.93</v>
      </c>
      <c r="AM64" s="10">
        <v>17257.32</v>
      </c>
      <c r="AN64" s="10">
        <v>36</v>
      </c>
      <c r="AO64" s="10">
        <v>113</v>
      </c>
      <c r="AP64" s="10">
        <v>1</v>
      </c>
      <c r="AQ64" s="10">
        <v>3</v>
      </c>
      <c r="AR64" s="10">
        <v>1213</v>
      </c>
      <c r="AS64" s="10">
        <v>4128</v>
      </c>
      <c r="AT64" s="10">
        <v>962</v>
      </c>
      <c r="AU64" s="10">
        <v>3464</v>
      </c>
      <c r="AV64" s="10">
        <v>11117</v>
      </c>
      <c r="AW64" s="10">
        <v>38266</v>
      </c>
      <c r="AX64" s="10">
        <v>365</v>
      </c>
      <c r="AY64" s="10">
        <v>951</v>
      </c>
      <c r="AZ64" s="10">
        <v>3036</v>
      </c>
      <c r="BA64" s="10">
        <v>6815</v>
      </c>
      <c r="BB64" s="10">
        <v>2995</v>
      </c>
      <c r="BC64" s="10">
        <v>9198</v>
      </c>
      <c r="BD64" s="10">
        <v>10944</v>
      </c>
      <c r="BE64" s="10">
        <v>103381</v>
      </c>
      <c r="BF64" s="10">
        <v>6819</v>
      </c>
      <c r="BG64" s="10">
        <v>21394</v>
      </c>
      <c r="BH64" s="10">
        <v>4616</v>
      </c>
      <c r="BI64" s="10">
        <v>15675</v>
      </c>
      <c r="BJ64" s="10">
        <v>5539</v>
      </c>
      <c r="BK64" s="10">
        <v>9314</v>
      </c>
      <c r="BL64" s="63">
        <f t="shared" si="10"/>
        <v>100984.2</v>
      </c>
      <c r="BM64" s="63">
        <f t="shared" si="11"/>
        <v>373677.64</v>
      </c>
    </row>
    <row r="65" spans="1:65" x14ac:dyDescent="0.25">
      <c r="A65" s="92" t="s">
        <v>283</v>
      </c>
      <c r="B65" s="92">
        <v>209</v>
      </c>
      <c r="C65" s="92">
        <v>78</v>
      </c>
      <c r="D65" s="92">
        <v>7555</v>
      </c>
      <c r="E65" s="92">
        <v>6276</v>
      </c>
      <c r="F65" s="92"/>
      <c r="G65" s="92"/>
      <c r="H65" s="92">
        <v>11718</v>
      </c>
      <c r="I65" s="92">
        <v>12785</v>
      </c>
      <c r="J65" s="92">
        <v>13352</v>
      </c>
      <c r="K65" s="92">
        <v>10464</v>
      </c>
      <c r="L65" s="92">
        <v>25623</v>
      </c>
      <c r="M65" s="92">
        <v>27138</v>
      </c>
      <c r="N65" s="92"/>
      <c r="O65" s="92"/>
      <c r="P65" s="91">
        <v>210.87</v>
      </c>
      <c r="Q65" s="91">
        <v>59.76</v>
      </c>
      <c r="R65" s="92">
        <v>4118.6000000000004</v>
      </c>
      <c r="S65" s="92">
        <v>3923.81</v>
      </c>
      <c r="T65" s="92">
        <v>8297</v>
      </c>
      <c r="U65" s="92">
        <v>1793</v>
      </c>
      <c r="V65" s="92">
        <v>58054</v>
      </c>
      <c r="W65" s="92">
        <v>63717</v>
      </c>
      <c r="X65" s="92">
        <v>39467</v>
      </c>
      <c r="Y65" s="92">
        <v>41338</v>
      </c>
      <c r="Z65" s="92">
        <v>0</v>
      </c>
      <c r="AA65" s="92">
        <v>4313</v>
      </c>
      <c r="AB65" s="92">
        <v>1577</v>
      </c>
      <c r="AC65" s="92">
        <v>944</v>
      </c>
      <c r="AD65" s="92">
        <v>918</v>
      </c>
      <c r="AE65" s="92">
        <v>867</v>
      </c>
      <c r="AF65" s="92">
        <v>202.44</v>
      </c>
      <c r="AG65" s="92">
        <v>204.28</v>
      </c>
      <c r="AH65" s="92">
        <v>575.71</v>
      </c>
      <c r="AI65" s="92">
        <v>442.76</v>
      </c>
      <c r="AJ65" s="92">
        <v>3745</v>
      </c>
      <c r="AK65" s="92">
        <v>3789</v>
      </c>
      <c r="AL65" s="92">
        <v>10894.09</v>
      </c>
      <c r="AM65" s="92">
        <v>9668.69</v>
      </c>
      <c r="AN65" s="92">
        <v>914</v>
      </c>
      <c r="AO65" s="92">
        <v>1025</v>
      </c>
      <c r="AP65" s="92">
        <v>2</v>
      </c>
      <c r="AQ65" s="92">
        <v>49</v>
      </c>
      <c r="AR65" s="92">
        <v>5095</v>
      </c>
      <c r="AS65" s="92">
        <v>4374</v>
      </c>
      <c r="AT65" s="92">
        <v>2335</v>
      </c>
      <c r="AU65" s="92">
        <v>2086</v>
      </c>
      <c r="AV65" s="92">
        <v>37524</v>
      </c>
      <c r="AW65" s="92">
        <v>49479</v>
      </c>
      <c r="AX65" s="92">
        <v>474</v>
      </c>
      <c r="AY65" s="92">
        <v>273</v>
      </c>
      <c r="AZ65" s="92">
        <v>10570</v>
      </c>
      <c r="BA65" s="92">
        <v>10401</v>
      </c>
      <c r="BB65" s="92">
        <v>6629</v>
      </c>
      <c r="BC65" s="92">
        <v>6950</v>
      </c>
      <c r="BD65" s="92">
        <v>22964</v>
      </c>
      <c r="BE65" s="92">
        <v>16644</v>
      </c>
      <c r="BF65" s="92">
        <v>0</v>
      </c>
      <c r="BG65" s="92"/>
      <c r="BH65" s="92">
        <v>9977</v>
      </c>
      <c r="BI65" s="92">
        <v>9919</v>
      </c>
      <c r="BJ65" s="92">
        <v>3075</v>
      </c>
      <c r="BK65" s="92">
        <v>1817</v>
      </c>
      <c r="BL65" s="68">
        <f t="shared" si="10"/>
        <v>286075.70999999996</v>
      </c>
      <c r="BM65" s="68">
        <f t="shared" si="11"/>
        <v>290818.30000000005</v>
      </c>
    </row>
    <row r="66" spans="1:65" x14ac:dyDescent="0.25">
      <c r="A66" s="2" t="s">
        <v>284</v>
      </c>
      <c r="B66" s="92">
        <v>167</v>
      </c>
      <c r="C66" s="92">
        <v>167</v>
      </c>
      <c r="D66" s="92">
        <v>7191</v>
      </c>
      <c r="E66" s="92">
        <v>7191</v>
      </c>
      <c r="F66" s="92"/>
      <c r="G66" s="92"/>
      <c r="H66" s="92">
        <v>11568</v>
      </c>
      <c r="I66" s="92">
        <v>11568</v>
      </c>
      <c r="J66" s="92">
        <v>15339</v>
      </c>
      <c r="K66" s="92">
        <v>15339</v>
      </c>
      <c r="L66" s="92">
        <v>26150</v>
      </c>
      <c r="M66" s="92">
        <v>26150</v>
      </c>
      <c r="N66" s="92"/>
      <c r="O66" s="92"/>
      <c r="P66" s="91">
        <v>180.44</v>
      </c>
      <c r="Q66" s="91">
        <v>180.44</v>
      </c>
      <c r="R66" s="92">
        <v>3790.66</v>
      </c>
      <c r="S66" s="92">
        <v>3790.66</v>
      </c>
      <c r="T66" s="92">
        <v>8492</v>
      </c>
      <c r="U66" s="92">
        <v>8492</v>
      </c>
      <c r="V66" s="92">
        <v>-55818</v>
      </c>
      <c r="W66" s="92">
        <v>-55818</v>
      </c>
      <c r="X66" s="92">
        <v>37073</v>
      </c>
      <c r="Y66" s="92">
        <v>37073</v>
      </c>
      <c r="Z66" s="92">
        <v>-542</v>
      </c>
      <c r="AA66" s="92">
        <v>5948</v>
      </c>
      <c r="AB66" s="92">
        <v>1996</v>
      </c>
      <c r="AC66" s="92">
        <v>1996</v>
      </c>
      <c r="AD66" s="92">
        <v>839</v>
      </c>
      <c r="AE66" s="92">
        <v>839</v>
      </c>
      <c r="AF66" s="92">
        <v>-246.08</v>
      </c>
      <c r="AG66" s="92">
        <v>-246.08</v>
      </c>
      <c r="AH66" s="92">
        <v>653.73</v>
      </c>
      <c r="AI66" s="92">
        <v>653.73</v>
      </c>
      <c r="AJ66" s="92">
        <v>3192</v>
      </c>
      <c r="AK66" s="92">
        <v>3192</v>
      </c>
      <c r="AL66" s="92">
        <v>10351.57</v>
      </c>
      <c r="AM66" s="92">
        <v>10351.57</v>
      </c>
      <c r="AN66" s="92">
        <v>-851</v>
      </c>
      <c r="AO66" s="92">
        <v>-851</v>
      </c>
      <c r="AP66" s="92">
        <v>2</v>
      </c>
      <c r="AQ66" s="92">
        <v>2</v>
      </c>
      <c r="AR66" s="92">
        <v>5031</v>
      </c>
      <c r="AS66" s="92">
        <v>5031</v>
      </c>
      <c r="AT66" s="92">
        <v>2100</v>
      </c>
      <c r="AU66" s="92">
        <v>2100</v>
      </c>
      <c r="AV66" s="92">
        <v>32273</v>
      </c>
      <c r="AW66" s="92">
        <v>32273</v>
      </c>
      <c r="AX66" s="92">
        <v>590</v>
      </c>
      <c r="AY66" s="92">
        <v>590</v>
      </c>
      <c r="AZ66" s="92">
        <v>10899</v>
      </c>
      <c r="BA66" s="92">
        <v>10899</v>
      </c>
      <c r="BB66" s="92">
        <v>6479</v>
      </c>
      <c r="BC66" s="92">
        <v>6479</v>
      </c>
      <c r="BD66" s="92">
        <v>18337</v>
      </c>
      <c r="BE66" s="92">
        <v>18337</v>
      </c>
      <c r="BF66" s="92">
        <v>859</v>
      </c>
      <c r="BG66" s="92">
        <v>3182</v>
      </c>
      <c r="BH66" s="92">
        <v>10317</v>
      </c>
      <c r="BI66" s="92">
        <v>10317</v>
      </c>
      <c r="BJ66" s="92">
        <v>-4976</v>
      </c>
      <c r="BK66" s="92">
        <v>-4976</v>
      </c>
      <c r="BL66" s="68">
        <f t="shared" si="10"/>
        <v>151437.32</v>
      </c>
      <c r="BM66" s="68">
        <f t="shared" si="11"/>
        <v>160250.32</v>
      </c>
    </row>
    <row r="67" spans="1:65" s="7" customFormat="1" x14ac:dyDescent="0.25">
      <c r="A67" s="10" t="s">
        <v>192</v>
      </c>
      <c r="B67" s="10">
        <v>110</v>
      </c>
      <c r="C67" s="10">
        <v>288</v>
      </c>
      <c r="D67" s="10">
        <v>3210</v>
      </c>
      <c r="E67" s="10">
        <v>8397</v>
      </c>
      <c r="F67" s="10"/>
      <c r="G67" s="10"/>
      <c r="H67" s="10">
        <v>4843</v>
      </c>
      <c r="I67" s="10">
        <v>15025</v>
      </c>
      <c r="J67" s="10">
        <v>8438</v>
      </c>
      <c r="K67" s="10">
        <v>18744</v>
      </c>
      <c r="L67" s="10">
        <v>4405</v>
      </c>
      <c r="M67" s="10">
        <v>13785</v>
      </c>
      <c r="N67" s="10"/>
      <c r="O67" s="10"/>
      <c r="P67" s="131">
        <v>136.32</v>
      </c>
      <c r="Q67" s="131">
        <v>241.04</v>
      </c>
      <c r="R67" s="10">
        <v>1950.58</v>
      </c>
      <c r="S67" s="10">
        <v>5464.87</v>
      </c>
      <c r="T67" s="10">
        <v>2404</v>
      </c>
      <c r="U67" s="10">
        <v>4301</v>
      </c>
      <c r="V67" s="10">
        <v>10700</v>
      </c>
      <c r="W67" s="10">
        <v>32901</v>
      </c>
      <c r="X67" s="10">
        <v>11554</v>
      </c>
      <c r="Y67" s="10">
        <v>32785</v>
      </c>
      <c r="Z67" s="10">
        <v>2721</v>
      </c>
      <c r="AA67" s="10">
        <v>7563</v>
      </c>
      <c r="AB67" s="10">
        <v>497</v>
      </c>
      <c r="AC67" s="10">
        <v>1165</v>
      </c>
      <c r="AD67" s="10">
        <v>531</v>
      </c>
      <c r="AE67" s="10">
        <v>1534</v>
      </c>
      <c r="AF67" s="10">
        <v>110.81</v>
      </c>
      <c r="AG67" s="10">
        <v>336.86</v>
      </c>
      <c r="AH67" s="10">
        <v>271.26</v>
      </c>
      <c r="AI67" s="10">
        <v>692.24</v>
      </c>
      <c r="AJ67" s="10">
        <v>1684</v>
      </c>
      <c r="AK67" s="10">
        <v>3801</v>
      </c>
      <c r="AL67" s="10">
        <v>3787.45</v>
      </c>
      <c r="AM67" s="10">
        <v>16574.439999999999</v>
      </c>
      <c r="AN67" s="10">
        <v>99</v>
      </c>
      <c r="AO67" s="10">
        <v>288</v>
      </c>
      <c r="AP67" s="10">
        <v>1</v>
      </c>
      <c r="AQ67" s="10">
        <v>51</v>
      </c>
      <c r="AR67" s="10">
        <v>1276</v>
      </c>
      <c r="AS67" s="10">
        <v>1276</v>
      </c>
      <c r="AT67" s="10">
        <v>1197</v>
      </c>
      <c r="AU67" s="10">
        <v>3450</v>
      </c>
      <c r="AV67" s="10">
        <v>16369</v>
      </c>
      <c r="AW67" s="10">
        <v>55472</v>
      </c>
      <c r="AX67" s="10">
        <v>250</v>
      </c>
      <c r="AY67" s="10">
        <v>634</v>
      </c>
      <c r="AZ67" s="10">
        <v>2707</v>
      </c>
      <c r="BA67" s="10">
        <v>6317</v>
      </c>
      <c r="BB67" s="10">
        <v>3146</v>
      </c>
      <c r="BC67" s="10">
        <v>9669</v>
      </c>
      <c r="BD67" s="10">
        <v>15571</v>
      </c>
      <c r="BE67" s="10">
        <v>101688</v>
      </c>
      <c r="BF67" s="10">
        <v>5960</v>
      </c>
      <c r="BG67" s="10">
        <v>18212</v>
      </c>
      <c r="BH67" s="10">
        <v>4275</v>
      </c>
      <c r="BI67" s="10">
        <v>15277</v>
      </c>
      <c r="BJ67" s="10">
        <v>3639</v>
      </c>
      <c r="BK67" s="10">
        <v>6155</v>
      </c>
      <c r="BL67" s="63">
        <f t="shared" si="10"/>
        <v>111843.42</v>
      </c>
      <c r="BM67" s="63">
        <f t="shared" si="11"/>
        <v>382087.44999999995</v>
      </c>
    </row>
    <row r="69" spans="1:65" x14ac:dyDescent="0.25">
      <c r="A69" s="23" t="s">
        <v>244</v>
      </c>
    </row>
    <row r="70" spans="1:65" x14ac:dyDescent="0.25">
      <c r="A70" s="1" t="s">
        <v>0</v>
      </c>
      <c r="B70" s="153" t="s">
        <v>1</v>
      </c>
      <c r="C70" s="154"/>
      <c r="D70" s="153" t="s">
        <v>234</v>
      </c>
      <c r="E70" s="154"/>
      <c r="F70" s="153" t="s">
        <v>2</v>
      </c>
      <c r="G70" s="154"/>
      <c r="H70" s="153" t="s">
        <v>3</v>
      </c>
      <c r="I70" s="154"/>
      <c r="J70" s="153" t="s">
        <v>243</v>
      </c>
      <c r="K70" s="154"/>
      <c r="L70" s="153" t="s">
        <v>235</v>
      </c>
      <c r="M70" s="154"/>
      <c r="N70" s="153" t="s">
        <v>5</v>
      </c>
      <c r="O70" s="154"/>
      <c r="P70" s="153" t="s">
        <v>4</v>
      </c>
      <c r="Q70" s="154"/>
      <c r="R70" s="153" t="s">
        <v>6</v>
      </c>
      <c r="S70" s="154"/>
      <c r="T70" s="153" t="s">
        <v>246</v>
      </c>
      <c r="U70" s="154"/>
      <c r="V70" s="153" t="s">
        <v>7</v>
      </c>
      <c r="W70" s="154"/>
      <c r="X70" s="153" t="s">
        <v>8</v>
      </c>
      <c r="Y70" s="154"/>
      <c r="Z70" s="153" t="s">
        <v>9</v>
      </c>
      <c r="AA70" s="154"/>
      <c r="AB70" s="153" t="s">
        <v>242</v>
      </c>
      <c r="AC70" s="154"/>
      <c r="AD70" s="153" t="s">
        <v>10</v>
      </c>
      <c r="AE70" s="154"/>
      <c r="AF70" s="153" t="s">
        <v>11</v>
      </c>
      <c r="AG70" s="154"/>
      <c r="AH70" s="153" t="s">
        <v>236</v>
      </c>
      <c r="AI70" s="154"/>
      <c r="AJ70" s="153" t="s">
        <v>245</v>
      </c>
      <c r="AK70" s="154"/>
      <c r="AL70" s="153" t="s">
        <v>12</v>
      </c>
      <c r="AM70" s="154"/>
      <c r="AN70" s="153" t="s">
        <v>237</v>
      </c>
      <c r="AO70" s="154"/>
      <c r="AP70" s="153" t="s">
        <v>238</v>
      </c>
      <c r="AQ70" s="154"/>
      <c r="AR70" s="153" t="s">
        <v>241</v>
      </c>
      <c r="AS70" s="154"/>
      <c r="AT70" s="153" t="s">
        <v>13</v>
      </c>
      <c r="AU70" s="154"/>
      <c r="AV70" s="153" t="s">
        <v>14</v>
      </c>
      <c r="AW70" s="154"/>
      <c r="AX70" s="153" t="s">
        <v>15</v>
      </c>
      <c r="AY70" s="154"/>
      <c r="AZ70" s="153" t="s">
        <v>16</v>
      </c>
      <c r="BA70" s="154"/>
      <c r="BB70" s="153" t="s">
        <v>17</v>
      </c>
      <c r="BC70" s="154"/>
      <c r="BD70" s="153" t="s">
        <v>239</v>
      </c>
      <c r="BE70" s="154"/>
      <c r="BF70" s="153" t="s">
        <v>240</v>
      </c>
      <c r="BG70" s="154"/>
      <c r="BH70" s="153" t="s">
        <v>18</v>
      </c>
      <c r="BI70" s="154"/>
      <c r="BJ70" s="153" t="s">
        <v>19</v>
      </c>
      <c r="BK70" s="154"/>
      <c r="BL70" s="155" t="s">
        <v>20</v>
      </c>
      <c r="BM70" s="156"/>
    </row>
    <row r="71" spans="1:65" ht="30" x14ac:dyDescent="0.25">
      <c r="A71" s="1"/>
      <c r="B71" s="53" t="s">
        <v>303</v>
      </c>
      <c r="C71" s="54" t="s">
        <v>302</v>
      </c>
      <c r="D71" s="53" t="s">
        <v>303</v>
      </c>
      <c r="E71" s="54" t="s">
        <v>302</v>
      </c>
      <c r="F71" s="53" t="s">
        <v>303</v>
      </c>
      <c r="G71" s="54" t="s">
        <v>302</v>
      </c>
      <c r="H71" s="53" t="s">
        <v>303</v>
      </c>
      <c r="I71" s="54" t="s">
        <v>302</v>
      </c>
      <c r="J71" s="53" t="s">
        <v>303</v>
      </c>
      <c r="K71" s="54" t="s">
        <v>302</v>
      </c>
      <c r="L71" s="53" t="s">
        <v>303</v>
      </c>
      <c r="M71" s="54" t="s">
        <v>302</v>
      </c>
      <c r="N71" s="53" t="s">
        <v>303</v>
      </c>
      <c r="O71" s="54" t="s">
        <v>302</v>
      </c>
      <c r="P71" s="53" t="s">
        <v>303</v>
      </c>
      <c r="Q71" s="54" t="s">
        <v>302</v>
      </c>
      <c r="R71" s="53" t="s">
        <v>303</v>
      </c>
      <c r="S71" s="54" t="s">
        <v>302</v>
      </c>
      <c r="T71" s="53" t="s">
        <v>303</v>
      </c>
      <c r="U71" s="54" t="s">
        <v>302</v>
      </c>
      <c r="V71" s="53" t="s">
        <v>303</v>
      </c>
      <c r="W71" s="54" t="s">
        <v>302</v>
      </c>
      <c r="X71" s="53" t="s">
        <v>303</v>
      </c>
      <c r="Y71" s="54" t="s">
        <v>302</v>
      </c>
      <c r="Z71" s="53" t="s">
        <v>303</v>
      </c>
      <c r="AA71" s="54" t="s">
        <v>302</v>
      </c>
      <c r="AB71" s="53" t="s">
        <v>303</v>
      </c>
      <c r="AC71" s="54" t="s">
        <v>302</v>
      </c>
      <c r="AD71" s="53" t="s">
        <v>303</v>
      </c>
      <c r="AE71" s="54" t="s">
        <v>302</v>
      </c>
      <c r="AF71" s="53" t="s">
        <v>303</v>
      </c>
      <c r="AG71" s="54" t="s">
        <v>302</v>
      </c>
      <c r="AH71" s="53" t="s">
        <v>303</v>
      </c>
      <c r="AI71" s="54" t="s">
        <v>302</v>
      </c>
      <c r="AJ71" s="53" t="s">
        <v>303</v>
      </c>
      <c r="AK71" s="54" t="s">
        <v>302</v>
      </c>
      <c r="AL71" s="53" t="s">
        <v>303</v>
      </c>
      <c r="AM71" s="54" t="s">
        <v>302</v>
      </c>
      <c r="AN71" s="53" t="s">
        <v>303</v>
      </c>
      <c r="AO71" s="54" t="s">
        <v>302</v>
      </c>
      <c r="AP71" s="53" t="s">
        <v>303</v>
      </c>
      <c r="AQ71" s="54" t="s">
        <v>302</v>
      </c>
      <c r="AR71" s="53" t="s">
        <v>303</v>
      </c>
      <c r="AS71" s="54" t="s">
        <v>302</v>
      </c>
      <c r="AT71" s="53" t="s">
        <v>303</v>
      </c>
      <c r="AU71" s="54" t="s">
        <v>302</v>
      </c>
      <c r="AV71" s="53" t="s">
        <v>303</v>
      </c>
      <c r="AW71" s="54" t="s">
        <v>302</v>
      </c>
      <c r="AX71" s="53" t="s">
        <v>303</v>
      </c>
      <c r="AY71" s="54" t="s">
        <v>302</v>
      </c>
      <c r="AZ71" s="53" t="s">
        <v>303</v>
      </c>
      <c r="BA71" s="54" t="s">
        <v>302</v>
      </c>
      <c r="BB71" s="53" t="s">
        <v>303</v>
      </c>
      <c r="BC71" s="54" t="s">
        <v>302</v>
      </c>
      <c r="BD71" s="53" t="s">
        <v>303</v>
      </c>
      <c r="BE71" s="54" t="s">
        <v>302</v>
      </c>
      <c r="BF71" s="53" t="s">
        <v>303</v>
      </c>
      <c r="BG71" s="54" t="s">
        <v>302</v>
      </c>
      <c r="BH71" s="53" t="s">
        <v>303</v>
      </c>
      <c r="BI71" s="54" t="s">
        <v>302</v>
      </c>
      <c r="BJ71" s="53" t="s">
        <v>303</v>
      </c>
      <c r="BK71" s="54" t="s">
        <v>302</v>
      </c>
      <c r="BL71" s="105" t="s">
        <v>303</v>
      </c>
      <c r="BM71" s="106" t="s">
        <v>302</v>
      </c>
    </row>
    <row r="72" spans="1:65" x14ac:dyDescent="0.25">
      <c r="A72" s="92" t="s">
        <v>279</v>
      </c>
      <c r="B72" s="76"/>
      <c r="C72" s="76"/>
      <c r="D72" s="76"/>
      <c r="E72" s="76"/>
      <c r="F72" s="92">
        <v>191087</v>
      </c>
      <c r="G72" s="92">
        <v>987212</v>
      </c>
      <c r="H72" s="92">
        <v>21413</v>
      </c>
      <c r="I72" s="92">
        <v>172913</v>
      </c>
      <c r="J72" s="76"/>
      <c r="K72" s="76"/>
      <c r="L72" s="76"/>
      <c r="M72" s="76"/>
      <c r="N72" s="76"/>
      <c r="O72" s="76"/>
      <c r="P72" s="76"/>
      <c r="Q72" s="76"/>
      <c r="R72" s="92">
        <v>28950.3</v>
      </c>
      <c r="S72" s="92">
        <v>66090.539999999994</v>
      </c>
      <c r="T72" s="76"/>
      <c r="U72" s="76"/>
      <c r="V72" s="92">
        <v>30375</v>
      </c>
      <c r="W72" s="92">
        <v>189462</v>
      </c>
      <c r="X72" s="92">
        <v>7275</v>
      </c>
      <c r="Y72" s="92">
        <v>65561</v>
      </c>
      <c r="Z72" s="92">
        <v>11684</v>
      </c>
      <c r="AA72" s="92">
        <v>78447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2">
        <v>1971.34</v>
      </c>
      <c r="AM72" s="92">
        <v>6914.66</v>
      </c>
      <c r="AN72" s="76"/>
      <c r="AO72" s="76"/>
      <c r="AP72" s="76"/>
      <c r="AQ72" s="76"/>
      <c r="AR72" s="76">
        <v>60050</v>
      </c>
      <c r="AS72" s="76">
        <v>253876</v>
      </c>
      <c r="AT72" s="76"/>
      <c r="AU72" s="76"/>
      <c r="AV72" s="92">
        <v>7256</v>
      </c>
      <c r="AW72" s="92">
        <v>143152</v>
      </c>
      <c r="AX72" s="76"/>
      <c r="AY72" s="76"/>
      <c r="AZ72" s="76"/>
      <c r="BA72" s="76"/>
      <c r="BB72" s="92">
        <v>45</v>
      </c>
      <c r="BC72" s="92">
        <v>386</v>
      </c>
      <c r="BD72" s="92">
        <v>12292</v>
      </c>
      <c r="BE72" s="92">
        <v>12292</v>
      </c>
      <c r="BF72" s="92">
        <v>1716</v>
      </c>
      <c r="BG72" s="92">
        <v>34802</v>
      </c>
      <c r="BH72" s="92">
        <v>-2193.9699999999998</v>
      </c>
      <c r="BI72" s="92">
        <v>-2337.48</v>
      </c>
      <c r="BJ72" s="92">
        <v>34052</v>
      </c>
      <c r="BK72" s="92">
        <v>90901</v>
      </c>
      <c r="BL72" s="68">
        <f t="shared" ref="BL72:BL78" si="12">SUM(B72+D72+F72+H72+J72+L72+N72+P72+R72+T72+V72+X72+Z72+AB72+AD72+AF72+AH72+AJ72+AL72+AN72+AP72+AR72+AT72+AV72+AX72+AZ72+BB72+BD72+BF72+BH72+BJ72)</f>
        <v>405972.67000000004</v>
      </c>
      <c r="BM72" s="68">
        <f t="shared" ref="BM72:BM78" si="13">SUM(C72+E72+G72+I72+K72+M72+O72+Q72+S72+U72+W72+Y72+AA72+AC72+AE72+AG72+AI72+AK72+AM72+AO72+AQ72+AS72+AU72+AW72+AY72+BA72+BC72+BE72+BG72+BI72+BK72)</f>
        <v>2099671.7199999997</v>
      </c>
    </row>
    <row r="73" spans="1:65" x14ac:dyDescent="0.25">
      <c r="A73" s="92" t="s">
        <v>280</v>
      </c>
      <c r="B73" s="76"/>
      <c r="C73" s="76"/>
      <c r="D73" s="76"/>
      <c r="E73" s="76"/>
      <c r="F73" s="92">
        <v>0</v>
      </c>
      <c r="G73" s="92">
        <v>0</v>
      </c>
      <c r="H73" s="92"/>
      <c r="I73" s="92"/>
      <c r="J73" s="76"/>
      <c r="K73" s="76"/>
      <c r="L73" s="76"/>
      <c r="M73" s="76"/>
      <c r="N73" s="76"/>
      <c r="O73" s="76"/>
      <c r="P73" s="76"/>
      <c r="Q73" s="76"/>
      <c r="R73" s="92"/>
      <c r="S73" s="92"/>
      <c r="T73" s="92">
        <v>233</v>
      </c>
      <c r="U73" s="92">
        <v>1194</v>
      </c>
      <c r="V73" s="92"/>
      <c r="W73" s="92"/>
      <c r="X73" s="92"/>
      <c r="Y73" s="92"/>
      <c r="Z73" s="92"/>
      <c r="AA73" s="92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2"/>
      <c r="AM73" s="92"/>
      <c r="AN73" s="76"/>
      <c r="AO73" s="76"/>
      <c r="AP73" s="76"/>
      <c r="AQ73" s="76"/>
      <c r="AR73" s="76"/>
      <c r="AS73" s="76"/>
      <c r="AT73" s="76"/>
      <c r="AU73" s="76"/>
      <c r="AV73" s="92"/>
      <c r="AW73" s="92"/>
      <c r="AX73" s="76"/>
      <c r="AY73" s="76"/>
      <c r="AZ73" s="76"/>
      <c r="BA73" s="76"/>
      <c r="BB73" s="92"/>
      <c r="BC73" s="92"/>
      <c r="BD73" s="92">
        <v>-1</v>
      </c>
      <c r="BE73" s="92">
        <v>-1</v>
      </c>
      <c r="BF73" s="92">
        <v>0</v>
      </c>
      <c r="BG73" s="92">
        <v>40</v>
      </c>
      <c r="BH73" s="92">
        <v>0</v>
      </c>
      <c r="BI73" s="92">
        <v>0</v>
      </c>
      <c r="BJ73" s="92"/>
      <c r="BK73" s="92"/>
      <c r="BL73" s="68">
        <f t="shared" si="12"/>
        <v>232</v>
      </c>
      <c r="BM73" s="68">
        <f t="shared" si="13"/>
        <v>1233</v>
      </c>
    </row>
    <row r="74" spans="1:65" x14ac:dyDescent="0.25">
      <c r="A74" s="92" t="s">
        <v>281</v>
      </c>
      <c r="B74" s="76"/>
      <c r="C74" s="76"/>
      <c r="D74" s="76"/>
      <c r="E74" s="76"/>
      <c r="F74" s="92">
        <v>88108</v>
      </c>
      <c r="G74" s="92">
        <v>504003</v>
      </c>
      <c r="H74" s="92">
        <v>-17422</v>
      </c>
      <c r="I74" s="92">
        <v>-140704</v>
      </c>
      <c r="J74" s="76"/>
      <c r="K74" s="76"/>
      <c r="L74" s="76"/>
      <c r="M74" s="76"/>
      <c r="N74" s="76"/>
      <c r="O74" s="76"/>
      <c r="P74" s="76"/>
      <c r="Q74" s="76"/>
      <c r="R74" s="92">
        <v>23143.360000000001</v>
      </c>
      <c r="S74" s="92">
        <v>52832.81</v>
      </c>
      <c r="T74" s="92">
        <v>76</v>
      </c>
      <c r="U74" s="92">
        <v>508</v>
      </c>
      <c r="V74" s="92">
        <v>-22933</v>
      </c>
      <c r="W74" s="92">
        <v>-146987</v>
      </c>
      <c r="X74" s="92">
        <v>5993</v>
      </c>
      <c r="Y74" s="92">
        <v>54053</v>
      </c>
      <c r="Z74" s="92">
        <v>9151</v>
      </c>
      <c r="AA74" s="92">
        <v>61374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2">
        <v>192.4</v>
      </c>
      <c r="AM74" s="92">
        <v>1621.7</v>
      </c>
      <c r="AN74" s="76"/>
      <c r="AO74" s="76"/>
      <c r="AP74" s="76"/>
      <c r="AQ74" s="76"/>
      <c r="AR74" s="76">
        <v>46288</v>
      </c>
      <c r="AS74" s="76">
        <v>161565</v>
      </c>
      <c r="AT74" s="76"/>
      <c r="AU74" s="76"/>
      <c r="AV74" s="92">
        <v>5827</v>
      </c>
      <c r="AW74" s="92">
        <v>116101</v>
      </c>
      <c r="AX74" s="76"/>
      <c r="AY74" s="76"/>
      <c r="AZ74" s="76"/>
      <c r="BA74" s="76"/>
      <c r="BB74" s="92">
        <v>33</v>
      </c>
      <c r="BC74" s="92">
        <v>350</v>
      </c>
      <c r="BD74" s="92">
        <v>783</v>
      </c>
      <c r="BE74" s="92">
        <v>783</v>
      </c>
      <c r="BF74" s="92">
        <v>621</v>
      </c>
      <c r="BG74" s="92">
        <v>1963</v>
      </c>
      <c r="BH74" s="92">
        <v>-1906</v>
      </c>
      <c r="BI74" s="92">
        <v>-2629</v>
      </c>
      <c r="BJ74" s="92">
        <v>26264</v>
      </c>
      <c r="BK74" s="92">
        <v>72849</v>
      </c>
      <c r="BL74" s="68">
        <f t="shared" si="12"/>
        <v>164218.76</v>
      </c>
      <c r="BM74" s="68">
        <f t="shared" si="13"/>
        <v>737683.51</v>
      </c>
    </row>
    <row r="75" spans="1:65" s="7" customFormat="1" x14ac:dyDescent="0.25">
      <c r="A75" s="10" t="s">
        <v>282</v>
      </c>
      <c r="B75" s="10"/>
      <c r="C75" s="10"/>
      <c r="D75" s="10"/>
      <c r="E75" s="10"/>
      <c r="F75" s="10">
        <v>102979</v>
      </c>
      <c r="G75" s="10">
        <v>483209</v>
      </c>
      <c r="H75" s="10">
        <v>3991</v>
      </c>
      <c r="I75" s="10">
        <v>32209</v>
      </c>
      <c r="J75" s="10"/>
      <c r="K75" s="10"/>
      <c r="L75" s="10"/>
      <c r="M75" s="10"/>
      <c r="N75" s="10"/>
      <c r="O75" s="10"/>
      <c r="P75" s="10"/>
      <c r="Q75" s="10"/>
      <c r="R75" s="10">
        <v>5806.94</v>
      </c>
      <c r="S75" s="10">
        <v>13257.74</v>
      </c>
      <c r="T75" s="10">
        <v>157</v>
      </c>
      <c r="U75" s="10">
        <v>686</v>
      </c>
      <c r="V75" s="10">
        <v>7442</v>
      </c>
      <c r="W75" s="10">
        <v>42474</v>
      </c>
      <c r="X75" s="10">
        <v>1282</v>
      </c>
      <c r="Y75" s="10">
        <v>11508</v>
      </c>
      <c r="Z75" s="10">
        <v>2533</v>
      </c>
      <c r="AA75" s="10">
        <v>17073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1778.93</v>
      </c>
      <c r="AM75" s="10">
        <v>5292.96</v>
      </c>
      <c r="AN75" s="10"/>
      <c r="AO75" s="10"/>
      <c r="AP75" s="10"/>
      <c r="AQ75" s="10"/>
      <c r="AR75" s="10">
        <v>13762</v>
      </c>
      <c r="AS75" s="10">
        <v>92311</v>
      </c>
      <c r="AT75" s="10"/>
      <c r="AU75" s="10"/>
      <c r="AV75" s="10">
        <v>1429</v>
      </c>
      <c r="AW75" s="10">
        <v>27051</v>
      </c>
      <c r="AX75" s="10"/>
      <c r="AY75" s="10"/>
      <c r="AZ75" s="10"/>
      <c r="BA75" s="10"/>
      <c r="BB75" s="10">
        <v>12</v>
      </c>
      <c r="BC75" s="10">
        <v>37</v>
      </c>
      <c r="BD75" s="10">
        <v>11508</v>
      </c>
      <c r="BE75" s="10">
        <v>11508</v>
      </c>
      <c r="BF75" s="10">
        <v>1095</v>
      </c>
      <c r="BG75" s="10">
        <v>32879</v>
      </c>
      <c r="BH75" s="10">
        <v>-288</v>
      </c>
      <c r="BI75" s="10">
        <v>292</v>
      </c>
      <c r="BJ75" s="10">
        <v>7789</v>
      </c>
      <c r="BK75" s="10">
        <v>18053</v>
      </c>
      <c r="BL75" s="63">
        <f t="shared" si="12"/>
        <v>161276.87</v>
      </c>
      <c r="BM75" s="63">
        <f t="shared" si="13"/>
        <v>787840.7</v>
      </c>
    </row>
    <row r="76" spans="1:65" x14ac:dyDescent="0.25">
      <c r="A76" s="92" t="s">
        <v>283</v>
      </c>
      <c r="B76" s="92"/>
      <c r="C76" s="92"/>
      <c r="D76" s="92"/>
      <c r="E76" s="92"/>
      <c r="F76" s="92">
        <v>109676</v>
      </c>
      <c r="G76" s="92">
        <v>58878</v>
      </c>
      <c r="H76" s="92">
        <v>9092</v>
      </c>
      <c r="I76" s="92">
        <v>2975</v>
      </c>
      <c r="J76" s="92"/>
      <c r="K76" s="92"/>
      <c r="L76" s="92"/>
      <c r="M76" s="92"/>
      <c r="N76" s="92"/>
      <c r="O76" s="92"/>
      <c r="P76" s="92"/>
      <c r="Q76" s="92"/>
      <c r="R76" s="92">
        <v>3235.47</v>
      </c>
      <c r="S76" s="92">
        <v>982.94</v>
      </c>
      <c r="T76" s="92"/>
      <c r="U76" s="92"/>
      <c r="V76" s="92">
        <v>12302</v>
      </c>
      <c r="W76" s="92">
        <v>2304</v>
      </c>
      <c r="X76" s="92">
        <v>5988</v>
      </c>
      <c r="Y76" s="92">
        <v>0</v>
      </c>
      <c r="Z76" s="92">
        <v>0</v>
      </c>
      <c r="AA76" s="92">
        <v>1933</v>
      </c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>
        <v>2244.85</v>
      </c>
      <c r="AM76" s="92">
        <v>20847.400000000001</v>
      </c>
      <c r="AN76" s="92"/>
      <c r="AO76" s="92"/>
      <c r="AP76" s="92"/>
      <c r="AQ76" s="92"/>
      <c r="AR76" s="92">
        <v>26654</v>
      </c>
      <c r="AS76" s="92"/>
      <c r="AT76" s="92"/>
      <c r="AU76" s="92"/>
      <c r="AV76" s="92">
        <v>15989</v>
      </c>
      <c r="AW76" s="92">
        <v>3646</v>
      </c>
      <c r="AX76" s="92"/>
      <c r="AY76" s="92"/>
      <c r="AZ76" s="92"/>
      <c r="BA76" s="92"/>
      <c r="BB76" s="92">
        <v>14</v>
      </c>
      <c r="BC76" s="92">
        <v>7</v>
      </c>
      <c r="BD76" s="92">
        <v>0</v>
      </c>
      <c r="BE76" s="92">
        <v>0</v>
      </c>
      <c r="BF76" s="92">
        <v>0</v>
      </c>
      <c r="BG76" s="92"/>
      <c r="BH76" s="92">
        <v>32450</v>
      </c>
      <c r="BI76" s="92">
        <v>34645</v>
      </c>
      <c r="BJ76" s="92">
        <v>6392</v>
      </c>
      <c r="BK76" s="92">
        <v>1413</v>
      </c>
      <c r="BL76" s="68">
        <f t="shared" si="12"/>
        <v>224037.32</v>
      </c>
      <c r="BM76" s="68">
        <f t="shared" si="13"/>
        <v>127631.34</v>
      </c>
    </row>
    <row r="77" spans="1:65" x14ac:dyDescent="0.25">
      <c r="A77" s="2" t="s">
        <v>284</v>
      </c>
      <c r="B77" s="92"/>
      <c r="C77" s="92"/>
      <c r="D77" s="92"/>
      <c r="E77" s="92"/>
      <c r="F77" s="92">
        <v>33904</v>
      </c>
      <c r="G77" s="92">
        <v>33904</v>
      </c>
      <c r="H77" s="92">
        <v>2759</v>
      </c>
      <c r="I77" s="92">
        <v>2759</v>
      </c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>
        <v>-1255</v>
      </c>
      <c r="W77" s="92">
        <v>-1255</v>
      </c>
      <c r="X77" s="92">
        <v>684</v>
      </c>
      <c r="Y77" s="92">
        <v>684</v>
      </c>
      <c r="Z77" s="92">
        <v>-8353</v>
      </c>
      <c r="AA77" s="92">
        <v>1709</v>
      </c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>
        <v>2422.12</v>
      </c>
      <c r="AM77" s="92">
        <v>2422.12</v>
      </c>
      <c r="AN77" s="92"/>
      <c r="AO77" s="92"/>
      <c r="AP77" s="92"/>
      <c r="AQ77" s="92"/>
      <c r="AR77" s="92">
        <v>5</v>
      </c>
      <c r="AS77" s="92">
        <v>5</v>
      </c>
      <c r="AT77" s="92"/>
      <c r="AU77" s="92"/>
      <c r="AV77" s="92">
        <v>6218</v>
      </c>
      <c r="AW77" s="92">
        <v>6218</v>
      </c>
      <c r="AX77" s="92"/>
      <c r="AY77" s="92"/>
      <c r="AZ77" s="92"/>
      <c r="BA77" s="92"/>
      <c r="BB77" s="92">
        <v>16</v>
      </c>
      <c r="BC77" s="92">
        <v>16</v>
      </c>
      <c r="BD77" s="92">
        <v>1038</v>
      </c>
      <c r="BE77" s="92">
        <v>1038</v>
      </c>
      <c r="BF77" s="92">
        <v>-15892</v>
      </c>
      <c r="BG77" s="92">
        <v>-12125</v>
      </c>
      <c r="BH77" s="92">
        <v>134</v>
      </c>
      <c r="BI77" s="92">
        <v>134</v>
      </c>
      <c r="BJ77" s="92">
        <v>-120</v>
      </c>
      <c r="BK77" s="92">
        <v>-120</v>
      </c>
      <c r="BL77" s="68">
        <f t="shared" si="12"/>
        <v>21560.119999999995</v>
      </c>
      <c r="BM77" s="68">
        <f t="shared" si="13"/>
        <v>35389.120000000003</v>
      </c>
    </row>
    <row r="78" spans="1:65" s="7" customFormat="1" x14ac:dyDescent="0.25">
      <c r="A78" s="10" t="s">
        <v>192</v>
      </c>
      <c r="B78" s="10"/>
      <c r="C78" s="10"/>
      <c r="D78" s="10"/>
      <c r="E78" s="10"/>
      <c r="F78" s="10">
        <v>178751</v>
      </c>
      <c r="G78" s="10">
        <v>508183</v>
      </c>
      <c r="H78" s="10">
        <v>10324</v>
      </c>
      <c r="I78" s="10">
        <v>32425</v>
      </c>
      <c r="J78" s="10"/>
      <c r="K78" s="10"/>
      <c r="L78" s="10"/>
      <c r="M78" s="10"/>
      <c r="N78" s="10"/>
      <c r="O78" s="10"/>
      <c r="P78" s="10"/>
      <c r="Q78" s="10"/>
      <c r="R78" s="10">
        <v>9042.41</v>
      </c>
      <c r="S78" s="10">
        <v>14240.68</v>
      </c>
      <c r="T78" s="10">
        <v>157</v>
      </c>
      <c r="U78" s="10">
        <v>686</v>
      </c>
      <c r="V78" s="10">
        <v>18489</v>
      </c>
      <c r="W78" s="10">
        <v>43523</v>
      </c>
      <c r="X78" s="10">
        <v>6586</v>
      </c>
      <c r="Y78" s="10">
        <v>11185</v>
      </c>
      <c r="Z78" s="10">
        <v>10887</v>
      </c>
      <c r="AA78" s="10">
        <v>17297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1601.66</v>
      </c>
      <c r="AM78" s="10">
        <v>23718.240000000002</v>
      </c>
      <c r="AN78" s="10"/>
      <c r="AO78" s="10"/>
      <c r="AP78" s="10"/>
      <c r="AQ78" s="10"/>
      <c r="AR78" s="10">
        <v>40411</v>
      </c>
      <c r="AS78" s="10">
        <v>92360</v>
      </c>
      <c r="AT78" s="10"/>
      <c r="AU78" s="10"/>
      <c r="AV78" s="10">
        <v>11201</v>
      </c>
      <c r="AW78" s="10">
        <v>24480</v>
      </c>
      <c r="AX78" s="10"/>
      <c r="AY78" s="10"/>
      <c r="AZ78" s="10"/>
      <c r="BA78" s="10"/>
      <c r="BB78" s="10">
        <v>11</v>
      </c>
      <c r="BC78" s="10">
        <v>28</v>
      </c>
      <c r="BD78" s="10">
        <v>10471</v>
      </c>
      <c r="BE78" s="10">
        <v>10471</v>
      </c>
      <c r="BF78" s="10">
        <v>16987</v>
      </c>
      <c r="BG78" s="10">
        <v>45004</v>
      </c>
      <c r="BH78" s="10">
        <v>32028</v>
      </c>
      <c r="BI78" s="10">
        <v>34802</v>
      </c>
      <c r="BJ78" s="10">
        <v>14061</v>
      </c>
      <c r="BK78" s="10">
        <v>19346</v>
      </c>
      <c r="BL78" s="63">
        <f t="shared" si="12"/>
        <v>361008.07</v>
      </c>
      <c r="BM78" s="63">
        <f t="shared" si="13"/>
        <v>877748.92</v>
      </c>
    </row>
    <row r="80" spans="1:65" x14ac:dyDescent="0.25">
      <c r="A80" s="23" t="s">
        <v>188</v>
      </c>
    </row>
    <row r="81" spans="1:65" x14ac:dyDescent="0.25">
      <c r="A81" s="1" t="s">
        <v>0</v>
      </c>
      <c r="B81" s="153" t="s">
        <v>1</v>
      </c>
      <c r="C81" s="154"/>
      <c r="D81" s="153" t="s">
        <v>234</v>
      </c>
      <c r="E81" s="154"/>
      <c r="F81" s="153" t="s">
        <v>2</v>
      </c>
      <c r="G81" s="154"/>
      <c r="H81" s="153" t="s">
        <v>3</v>
      </c>
      <c r="I81" s="154"/>
      <c r="J81" s="153" t="s">
        <v>243</v>
      </c>
      <c r="K81" s="154"/>
      <c r="L81" s="153" t="s">
        <v>235</v>
      </c>
      <c r="M81" s="154"/>
      <c r="N81" s="153" t="s">
        <v>5</v>
      </c>
      <c r="O81" s="154"/>
      <c r="P81" s="153" t="s">
        <v>4</v>
      </c>
      <c r="Q81" s="154"/>
      <c r="R81" s="153" t="s">
        <v>6</v>
      </c>
      <c r="S81" s="154"/>
      <c r="T81" s="153" t="s">
        <v>246</v>
      </c>
      <c r="U81" s="154"/>
      <c r="V81" s="153" t="s">
        <v>7</v>
      </c>
      <c r="W81" s="154"/>
      <c r="X81" s="153" t="s">
        <v>8</v>
      </c>
      <c r="Y81" s="154"/>
      <c r="Z81" s="153" t="s">
        <v>9</v>
      </c>
      <c r="AA81" s="154"/>
      <c r="AB81" s="153" t="s">
        <v>242</v>
      </c>
      <c r="AC81" s="154"/>
      <c r="AD81" s="153" t="s">
        <v>10</v>
      </c>
      <c r="AE81" s="154"/>
      <c r="AF81" s="153" t="s">
        <v>11</v>
      </c>
      <c r="AG81" s="154"/>
      <c r="AH81" s="153" t="s">
        <v>236</v>
      </c>
      <c r="AI81" s="154"/>
      <c r="AJ81" s="153" t="s">
        <v>245</v>
      </c>
      <c r="AK81" s="154"/>
      <c r="AL81" s="153" t="s">
        <v>12</v>
      </c>
      <c r="AM81" s="154"/>
      <c r="AN81" s="153" t="s">
        <v>237</v>
      </c>
      <c r="AO81" s="154"/>
      <c r="AP81" s="153" t="s">
        <v>238</v>
      </c>
      <c r="AQ81" s="154"/>
      <c r="AR81" s="153" t="s">
        <v>241</v>
      </c>
      <c r="AS81" s="154"/>
      <c r="AT81" s="153" t="s">
        <v>13</v>
      </c>
      <c r="AU81" s="154"/>
      <c r="AV81" s="153" t="s">
        <v>14</v>
      </c>
      <c r="AW81" s="154"/>
      <c r="AX81" s="153" t="s">
        <v>15</v>
      </c>
      <c r="AY81" s="154"/>
      <c r="AZ81" s="153" t="s">
        <v>16</v>
      </c>
      <c r="BA81" s="154"/>
      <c r="BB81" s="153" t="s">
        <v>17</v>
      </c>
      <c r="BC81" s="154"/>
      <c r="BD81" s="153" t="s">
        <v>239</v>
      </c>
      <c r="BE81" s="154"/>
      <c r="BF81" s="153" t="s">
        <v>240</v>
      </c>
      <c r="BG81" s="154"/>
      <c r="BH81" s="153" t="s">
        <v>18</v>
      </c>
      <c r="BI81" s="154"/>
      <c r="BJ81" s="153" t="s">
        <v>19</v>
      </c>
      <c r="BK81" s="154"/>
      <c r="BL81" s="155" t="s">
        <v>20</v>
      </c>
      <c r="BM81" s="156"/>
    </row>
    <row r="82" spans="1:65" ht="30" x14ac:dyDescent="0.25">
      <c r="A82" s="1"/>
      <c r="B82" s="53" t="s">
        <v>303</v>
      </c>
      <c r="C82" s="54" t="s">
        <v>302</v>
      </c>
      <c r="D82" s="53" t="s">
        <v>303</v>
      </c>
      <c r="E82" s="54" t="s">
        <v>302</v>
      </c>
      <c r="F82" s="53" t="s">
        <v>303</v>
      </c>
      <c r="G82" s="54" t="s">
        <v>302</v>
      </c>
      <c r="H82" s="53" t="s">
        <v>303</v>
      </c>
      <c r="I82" s="54" t="s">
        <v>302</v>
      </c>
      <c r="J82" s="53" t="s">
        <v>303</v>
      </c>
      <c r="K82" s="54" t="s">
        <v>302</v>
      </c>
      <c r="L82" s="53" t="s">
        <v>303</v>
      </c>
      <c r="M82" s="54" t="s">
        <v>302</v>
      </c>
      <c r="N82" s="53" t="s">
        <v>303</v>
      </c>
      <c r="O82" s="54" t="s">
        <v>302</v>
      </c>
      <c r="P82" s="53" t="s">
        <v>303</v>
      </c>
      <c r="Q82" s="54" t="s">
        <v>302</v>
      </c>
      <c r="R82" s="53" t="s">
        <v>303</v>
      </c>
      <c r="S82" s="54" t="s">
        <v>302</v>
      </c>
      <c r="T82" s="53" t="s">
        <v>303</v>
      </c>
      <c r="U82" s="54" t="s">
        <v>302</v>
      </c>
      <c r="V82" s="53" t="s">
        <v>303</v>
      </c>
      <c r="W82" s="54" t="s">
        <v>302</v>
      </c>
      <c r="X82" s="53" t="s">
        <v>303</v>
      </c>
      <c r="Y82" s="54" t="s">
        <v>302</v>
      </c>
      <c r="Z82" s="53" t="s">
        <v>303</v>
      </c>
      <c r="AA82" s="54" t="s">
        <v>302</v>
      </c>
      <c r="AB82" s="53" t="s">
        <v>303</v>
      </c>
      <c r="AC82" s="54" t="s">
        <v>302</v>
      </c>
      <c r="AD82" s="53" t="s">
        <v>303</v>
      </c>
      <c r="AE82" s="54" t="s">
        <v>302</v>
      </c>
      <c r="AF82" s="53" t="s">
        <v>303</v>
      </c>
      <c r="AG82" s="54" t="s">
        <v>302</v>
      </c>
      <c r="AH82" s="53" t="s">
        <v>303</v>
      </c>
      <c r="AI82" s="54" t="s">
        <v>302</v>
      </c>
      <c r="AJ82" s="53" t="s">
        <v>303</v>
      </c>
      <c r="AK82" s="54" t="s">
        <v>302</v>
      </c>
      <c r="AL82" s="53" t="s">
        <v>303</v>
      </c>
      <c r="AM82" s="54" t="s">
        <v>302</v>
      </c>
      <c r="AN82" s="53" t="s">
        <v>303</v>
      </c>
      <c r="AO82" s="54" t="s">
        <v>302</v>
      </c>
      <c r="AP82" s="53" t="s">
        <v>303</v>
      </c>
      <c r="AQ82" s="54" t="s">
        <v>302</v>
      </c>
      <c r="AR82" s="53" t="s">
        <v>303</v>
      </c>
      <c r="AS82" s="54" t="s">
        <v>302</v>
      </c>
      <c r="AT82" s="53" t="s">
        <v>303</v>
      </c>
      <c r="AU82" s="54" t="s">
        <v>302</v>
      </c>
      <c r="AV82" s="53" t="s">
        <v>303</v>
      </c>
      <c r="AW82" s="54" t="s">
        <v>302</v>
      </c>
      <c r="AX82" s="53" t="s">
        <v>303</v>
      </c>
      <c r="AY82" s="54" t="s">
        <v>302</v>
      </c>
      <c r="AZ82" s="53" t="s">
        <v>303</v>
      </c>
      <c r="BA82" s="54" t="s">
        <v>302</v>
      </c>
      <c r="BB82" s="53" t="s">
        <v>303</v>
      </c>
      <c r="BC82" s="54" t="s">
        <v>302</v>
      </c>
      <c r="BD82" s="53" t="s">
        <v>303</v>
      </c>
      <c r="BE82" s="54" t="s">
        <v>302</v>
      </c>
      <c r="BF82" s="53" t="s">
        <v>303</v>
      </c>
      <c r="BG82" s="54" t="s">
        <v>302</v>
      </c>
      <c r="BH82" s="53" t="s">
        <v>303</v>
      </c>
      <c r="BI82" s="54" t="s">
        <v>302</v>
      </c>
      <c r="BJ82" s="53" t="s">
        <v>303</v>
      </c>
      <c r="BK82" s="54" t="s">
        <v>302</v>
      </c>
      <c r="BL82" s="105" t="s">
        <v>303</v>
      </c>
      <c r="BM82" s="106" t="s">
        <v>302</v>
      </c>
    </row>
    <row r="83" spans="1:65" x14ac:dyDescent="0.25">
      <c r="A83" s="92" t="s">
        <v>279</v>
      </c>
      <c r="B83" s="76"/>
      <c r="C83" s="76"/>
      <c r="D83" s="76"/>
      <c r="E83" s="76"/>
      <c r="F83" s="76"/>
      <c r="G83" s="76"/>
      <c r="H83" s="92">
        <v>267</v>
      </c>
      <c r="I83" s="92">
        <v>1254</v>
      </c>
      <c r="J83" s="76"/>
      <c r="K83" s="76"/>
      <c r="L83" s="76"/>
      <c r="M83" s="76"/>
      <c r="N83" s="76"/>
      <c r="O83" s="76"/>
      <c r="P83" s="76"/>
      <c r="Q83" s="76"/>
      <c r="R83" s="92">
        <v>0.44</v>
      </c>
      <c r="S83" s="92">
        <v>11.71</v>
      </c>
      <c r="T83" s="76"/>
      <c r="U83" s="76"/>
      <c r="V83" s="92">
        <v>820</v>
      </c>
      <c r="W83" s="92">
        <v>1539</v>
      </c>
      <c r="X83" s="92">
        <v>3658</v>
      </c>
      <c r="Y83" s="92">
        <v>9551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2">
        <v>3225.98</v>
      </c>
      <c r="AM83" s="92">
        <v>8848.99</v>
      </c>
      <c r="AN83" s="76"/>
      <c r="AO83" s="76"/>
      <c r="AP83" s="76"/>
      <c r="AQ83" s="76"/>
      <c r="AR83" s="76">
        <v>257</v>
      </c>
      <c r="AS83" s="76">
        <v>2887</v>
      </c>
      <c r="AT83" s="76"/>
      <c r="AU83" s="76"/>
      <c r="AV83" s="92">
        <v>3</v>
      </c>
      <c r="AW83" s="92">
        <v>11</v>
      </c>
      <c r="AX83" s="76"/>
      <c r="AY83" s="76"/>
      <c r="AZ83" s="76"/>
      <c r="BA83" s="76"/>
      <c r="BB83" s="76"/>
      <c r="BC83" s="76"/>
      <c r="BD83" s="92">
        <v>9199</v>
      </c>
      <c r="BE83" s="92">
        <v>21795</v>
      </c>
      <c r="BF83" s="92">
        <v>4178</v>
      </c>
      <c r="BG83" s="92">
        <v>10623</v>
      </c>
      <c r="BH83" s="92">
        <v>2493.12</v>
      </c>
      <c r="BI83" s="92">
        <v>8642.92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24101.539999999997</v>
      </c>
      <c r="BM83" s="68">
        <f t="shared" ref="BM83:BM89" si="15">SUM(C83+E83+G83+I83+K83+M83+O83+Q83+S83+U83+W83+Y83+AA83+AC83+AE83+AG83+AI83+AK83+AM83+AO83+AQ83+AS83+AU83+AW83+AY83+BA83+BC83+BE83+BG83+BI83+BK83)</f>
        <v>65163.619999999995</v>
      </c>
    </row>
    <row r="84" spans="1:65" x14ac:dyDescent="0.25">
      <c r="A84" s="92" t="s">
        <v>280</v>
      </c>
      <c r="B84" s="76"/>
      <c r="C84" s="76"/>
      <c r="D84" s="76"/>
      <c r="E84" s="76"/>
      <c r="F84" s="76"/>
      <c r="G84" s="76"/>
      <c r="H84" s="92"/>
      <c r="I84" s="92"/>
      <c r="J84" s="76"/>
      <c r="K84" s="76"/>
      <c r="L84" s="76"/>
      <c r="M84" s="76"/>
      <c r="N84" s="76"/>
      <c r="O84" s="76"/>
      <c r="P84" s="76"/>
      <c r="Q84" s="76"/>
      <c r="R84" s="92"/>
      <c r="S84" s="92"/>
      <c r="T84" s="76"/>
      <c r="U84" s="76"/>
      <c r="V84" s="92"/>
      <c r="W84" s="92"/>
      <c r="X84" s="92">
        <v>443</v>
      </c>
      <c r="Y84" s="92">
        <v>863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2">
        <v>2263.23</v>
      </c>
      <c r="AM84" s="92">
        <v>6632.35</v>
      </c>
      <c r="AN84" s="76"/>
      <c r="AO84" s="76"/>
      <c r="AP84" s="76"/>
      <c r="AQ84" s="76"/>
      <c r="AR84" s="76"/>
      <c r="AS84" s="76"/>
      <c r="AT84" s="76"/>
      <c r="AU84" s="76"/>
      <c r="AV84" s="92"/>
      <c r="AW84" s="92"/>
      <c r="AX84" s="76"/>
      <c r="AY84" s="76"/>
      <c r="AZ84" s="76"/>
      <c r="BA84" s="76"/>
      <c r="BB84" s="76"/>
      <c r="BC84" s="76"/>
      <c r="BD84" s="92">
        <v>303</v>
      </c>
      <c r="BE84" s="92">
        <v>3403</v>
      </c>
      <c r="BF84" s="92">
        <v>2421</v>
      </c>
      <c r="BG84" s="92">
        <v>11310</v>
      </c>
      <c r="BH84" s="92">
        <v>291.94</v>
      </c>
      <c r="BI84" s="92">
        <v>1301.93</v>
      </c>
      <c r="BJ84" s="76"/>
      <c r="BK84" s="76"/>
      <c r="BL84" s="68">
        <f t="shared" si="14"/>
        <v>5722.1699999999992</v>
      </c>
      <c r="BM84" s="68">
        <f t="shared" si="15"/>
        <v>23510.28</v>
      </c>
    </row>
    <row r="85" spans="1:65" x14ac:dyDescent="0.25">
      <c r="A85" s="92" t="s">
        <v>281</v>
      </c>
      <c r="B85" s="76"/>
      <c r="C85" s="76"/>
      <c r="D85" s="76"/>
      <c r="E85" s="76"/>
      <c r="F85" s="76"/>
      <c r="G85" s="76"/>
      <c r="H85" s="92">
        <v>-256</v>
      </c>
      <c r="I85" s="92">
        <v>-1279</v>
      </c>
      <c r="J85" s="76"/>
      <c r="K85" s="76"/>
      <c r="L85" s="76"/>
      <c r="M85" s="76"/>
      <c r="N85" s="76"/>
      <c r="O85" s="76"/>
      <c r="P85" s="76"/>
      <c r="Q85" s="76"/>
      <c r="R85" s="92">
        <v>0.02</v>
      </c>
      <c r="S85" s="92">
        <v>0.59</v>
      </c>
      <c r="T85" s="76"/>
      <c r="U85" s="76"/>
      <c r="V85" s="92">
        <v>-820</v>
      </c>
      <c r="W85" s="92">
        <v>-1537</v>
      </c>
      <c r="X85" s="92">
        <v>3604</v>
      </c>
      <c r="Y85" s="92">
        <v>9092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2">
        <v>3381.64</v>
      </c>
      <c r="AM85" s="92">
        <v>9177.35</v>
      </c>
      <c r="AN85" s="76"/>
      <c r="AO85" s="76"/>
      <c r="AP85" s="76"/>
      <c r="AQ85" s="76"/>
      <c r="AR85" s="76">
        <v>240</v>
      </c>
      <c r="AS85" s="76">
        <v>2209</v>
      </c>
      <c r="AT85" s="76"/>
      <c r="AU85" s="76"/>
      <c r="AV85" s="92">
        <v>3</v>
      </c>
      <c r="AW85" s="92">
        <v>11</v>
      </c>
      <c r="AX85" s="76"/>
      <c r="AY85" s="76"/>
      <c r="AZ85" s="76"/>
      <c r="BA85" s="76"/>
      <c r="BB85" s="76"/>
      <c r="BC85" s="76"/>
      <c r="BD85" s="92">
        <v>8576</v>
      </c>
      <c r="BE85" s="92">
        <v>19838</v>
      </c>
      <c r="BF85" s="92">
        <v>4944</v>
      </c>
      <c r="BG85" s="92">
        <v>11436</v>
      </c>
      <c r="BH85" s="92">
        <v>2320</v>
      </c>
      <c r="BI85" s="92">
        <v>8208</v>
      </c>
      <c r="BJ85" s="76"/>
      <c r="BK85" s="76"/>
      <c r="BL85" s="68">
        <f t="shared" si="14"/>
        <v>21992.66</v>
      </c>
      <c r="BM85" s="68">
        <f t="shared" si="15"/>
        <v>57155.94</v>
      </c>
    </row>
    <row r="86" spans="1:65" s="7" customFormat="1" x14ac:dyDescent="0.25">
      <c r="A86" s="10" t="s">
        <v>282</v>
      </c>
      <c r="B86" s="10"/>
      <c r="C86" s="10"/>
      <c r="D86" s="10"/>
      <c r="E86" s="10"/>
      <c r="F86" s="10"/>
      <c r="G86" s="10"/>
      <c r="H86" s="10">
        <v>11</v>
      </c>
      <c r="I86" s="10">
        <v>-25</v>
      </c>
      <c r="J86" s="10"/>
      <c r="K86" s="10"/>
      <c r="L86" s="10"/>
      <c r="M86" s="10"/>
      <c r="N86" s="10"/>
      <c r="O86" s="10"/>
      <c r="P86" s="10"/>
      <c r="Q86" s="10"/>
      <c r="R86" s="10">
        <v>0.42</v>
      </c>
      <c r="S86" s="10">
        <v>11.13</v>
      </c>
      <c r="T86" s="10"/>
      <c r="U86" s="10"/>
      <c r="V86" s="10"/>
      <c r="W86" s="10">
        <v>2</v>
      </c>
      <c r="X86" s="10">
        <v>497</v>
      </c>
      <c r="Y86" s="10">
        <v>1322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2107.5700000000002</v>
      </c>
      <c r="AM86" s="10">
        <v>6303.99</v>
      </c>
      <c r="AN86" s="10"/>
      <c r="AO86" s="10"/>
      <c r="AP86" s="10"/>
      <c r="AQ86" s="10"/>
      <c r="AR86" s="10">
        <v>18</v>
      </c>
      <c r="AS86" s="10">
        <v>678</v>
      </c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v>925</v>
      </c>
      <c r="BE86" s="10">
        <v>5360</v>
      </c>
      <c r="BF86" s="10">
        <v>1654</v>
      </c>
      <c r="BG86" s="10">
        <v>10497</v>
      </c>
      <c r="BH86" s="10">
        <v>465</v>
      </c>
      <c r="BI86" s="10">
        <v>1737</v>
      </c>
      <c r="BJ86" s="10"/>
      <c r="BK86" s="10"/>
      <c r="BL86" s="63">
        <f t="shared" si="14"/>
        <v>5677.99</v>
      </c>
      <c r="BM86" s="63">
        <f t="shared" si="15"/>
        <v>25886.12</v>
      </c>
    </row>
    <row r="87" spans="1:65" x14ac:dyDescent="0.25">
      <c r="A87" s="92" t="s">
        <v>283</v>
      </c>
      <c r="B87" s="92"/>
      <c r="C87" s="92"/>
      <c r="D87" s="92"/>
      <c r="E87" s="92"/>
      <c r="F87" s="92"/>
      <c r="G87" s="92"/>
      <c r="H87" s="92">
        <v>10</v>
      </c>
      <c r="I87" s="92">
        <v>3</v>
      </c>
      <c r="J87" s="92"/>
      <c r="K87" s="92"/>
      <c r="L87" s="92"/>
      <c r="M87" s="92"/>
      <c r="N87" s="92"/>
      <c r="O87" s="92"/>
      <c r="P87" s="92"/>
      <c r="Q87" s="92"/>
      <c r="R87" s="92">
        <v>113.58</v>
      </c>
      <c r="S87" s="92">
        <v>326.04000000000002</v>
      </c>
      <c r="T87" s="92"/>
      <c r="U87" s="92"/>
      <c r="V87" s="92">
        <v>1</v>
      </c>
      <c r="W87" s="92"/>
      <c r="X87" s="92">
        <v>702</v>
      </c>
      <c r="Y87" s="92">
        <v>1195</v>
      </c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>
        <v>3667.54</v>
      </c>
      <c r="AM87" s="92">
        <v>2701.3</v>
      </c>
      <c r="AN87" s="92"/>
      <c r="AO87" s="92"/>
      <c r="AP87" s="92"/>
      <c r="AQ87" s="92"/>
      <c r="AR87" s="92">
        <v>172</v>
      </c>
      <c r="AS87" s="92">
        <v>6</v>
      </c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>
        <v>4375</v>
      </c>
      <c r="BE87" s="92">
        <v>6685</v>
      </c>
      <c r="BF87" s="92">
        <v>0</v>
      </c>
      <c r="BG87" s="92"/>
      <c r="BH87" s="92">
        <v>1094</v>
      </c>
      <c r="BI87" s="92">
        <v>690</v>
      </c>
      <c r="BJ87" s="92"/>
      <c r="BK87" s="92"/>
      <c r="BL87" s="68">
        <f t="shared" si="14"/>
        <v>10135.119999999999</v>
      </c>
      <c r="BM87" s="68">
        <f t="shared" si="15"/>
        <v>11606.34</v>
      </c>
    </row>
    <row r="88" spans="1:65" x14ac:dyDescent="0.25">
      <c r="A88" s="2" t="s">
        <v>284</v>
      </c>
      <c r="B88" s="92"/>
      <c r="C88" s="92"/>
      <c r="D88" s="92"/>
      <c r="E88" s="92"/>
      <c r="F88" s="92"/>
      <c r="G88" s="92"/>
      <c r="H88" s="92">
        <v>6</v>
      </c>
      <c r="I88" s="92">
        <v>6</v>
      </c>
      <c r="J88" s="92"/>
      <c r="K88" s="92"/>
      <c r="L88" s="92"/>
      <c r="M88" s="92"/>
      <c r="N88" s="92"/>
      <c r="O88" s="92"/>
      <c r="P88" s="92"/>
      <c r="Q88" s="92"/>
      <c r="R88" s="92">
        <v>0.72</v>
      </c>
      <c r="S88" s="92">
        <v>0.72</v>
      </c>
      <c r="T88" s="92"/>
      <c r="U88" s="92"/>
      <c r="V88" s="92">
        <v>-1</v>
      </c>
      <c r="W88" s="92">
        <v>-1</v>
      </c>
      <c r="X88" s="92">
        <v>393</v>
      </c>
      <c r="Y88" s="92">
        <v>393</v>
      </c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>
        <v>4676.26</v>
      </c>
      <c r="AM88" s="92">
        <v>4676.26</v>
      </c>
      <c r="AN88" s="92"/>
      <c r="AO88" s="92"/>
      <c r="AP88" s="92"/>
      <c r="AQ88" s="92"/>
      <c r="AR88" s="92">
        <v>19</v>
      </c>
      <c r="AS88" s="92">
        <v>19</v>
      </c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>
        <v>2932</v>
      </c>
      <c r="BE88" s="92">
        <v>2932</v>
      </c>
      <c r="BF88" s="92">
        <v>-2356</v>
      </c>
      <c r="BG88" s="92">
        <v>-1435</v>
      </c>
      <c r="BH88" s="92">
        <v>1131</v>
      </c>
      <c r="BI88" s="92">
        <v>1131</v>
      </c>
      <c r="BJ88" s="92"/>
      <c r="BK88" s="92"/>
      <c r="BL88" s="68">
        <f t="shared" si="14"/>
        <v>6800.9800000000005</v>
      </c>
      <c r="BM88" s="68">
        <f t="shared" si="15"/>
        <v>7721.9800000000005</v>
      </c>
    </row>
    <row r="89" spans="1:65" s="7" customFormat="1" x14ac:dyDescent="0.25">
      <c r="A89" s="10" t="s">
        <v>192</v>
      </c>
      <c r="B89" s="10"/>
      <c r="C89" s="10"/>
      <c r="D89" s="10"/>
      <c r="E89" s="10"/>
      <c r="F89" s="10"/>
      <c r="G89" s="10"/>
      <c r="H89" s="10">
        <v>15</v>
      </c>
      <c r="I89" s="10">
        <v>-28</v>
      </c>
      <c r="J89" s="10"/>
      <c r="K89" s="10"/>
      <c r="L89" s="10"/>
      <c r="M89" s="10"/>
      <c r="N89" s="10"/>
      <c r="O89" s="10"/>
      <c r="P89" s="10"/>
      <c r="Q89" s="10"/>
      <c r="R89" s="10">
        <v>113.28</v>
      </c>
      <c r="S89" s="10">
        <v>336.45</v>
      </c>
      <c r="T89" s="10"/>
      <c r="U89" s="10"/>
      <c r="V89" s="10"/>
      <c r="W89" s="10">
        <v>1</v>
      </c>
      <c r="X89" s="10">
        <v>806</v>
      </c>
      <c r="Y89" s="10">
        <v>2124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1098.8499999999999</v>
      </c>
      <c r="AM89" s="10">
        <v>4329.03</v>
      </c>
      <c r="AN89" s="10"/>
      <c r="AO89" s="10"/>
      <c r="AP89" s="10"/>
      <c r="AQ89" s="10"/>
      <c r="AR89" s="10">
        <v>171</v>
      </c>
      <c r="AS89" s="10">
        <v>664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>
        <v>2368</v>
      </c>
      <c r="BE89" s="10">
        <v>9113</v>
      </c>
      <c r="BF89" s="10">
        <v>4011</v>
      </c>
      <c r="BG89" s="10">
        <v>11932</v>
      </c>
      <c r="BH89" s="10">
        <v>428</v>
      </c>
      <c r="BI89" s="10">
        <v>1295</v>
      </c>
      <c r="BJ89" s="10"/>
      <c r="BK89" s="10"/>
      <c r="BL89" s="63">
        <f t="shared" si="14"/>
        <v>9011.130000000001</v>
      </c>
      <c r="BM89" s="63">
        <f t="shared" si="15"/>
        <v>29766.48</v>
      </c>
    </row>
    <row r="91" spans="1:65" x14ac:dyDescent="0.25">
      <c r="A91" s="23" t="s">
        <v>189</v>
      </c>
    </row>
    <row r="92" spans="1:65" x14ac:dyDescent="0.25">
      <c r="A92" s="1" t="s">
        <v>0</v>
      </c>
      <c r="B92" s="153" t="s">
        <v>1</v>
      </c>
      <c r="C92" s="154"/>
      <c r="D92" s="153" t="s">
        <v>234</v>
      </c>
      <c r="E92" s="154"/>
      <c r="F92" s="153" t="s">
        <v>2</v>
      </c>
      <c r="G92" s="154"/>
      <c r="H92" s="153" t="s">
        <v>3</v>
      </c>
      <c r="I92" s="154"/>
      <c r="J92" s="153" t="s">
        <v>243</v>
      </c>
      <c r="K92" s="154"/>
      <c r="L92" s="153" t="s">
        <v>235</v>
      </c>
      <c r="M92" s="154"/>
      <c r="N92" s="153" t="s">
        <v>5</v>
      </c>
      <c r="O92" s="154"/>
      <c r="P92" s="153" t="s">
        <v>4</v>
      </c>
      <c r="Q92" s="154"/>
      <c r="R92" s="153" t="s">
        <v>6</v>
      </c>
      <c r="S92" s="154"/>
      <c r="T92" s="153" t="s">
        <v>246</v>
      </c>
      <c r="U92" s="154"/>
      <c r="V92" s="153" t="s">
        <v>7</v>
      </c>
      <c r="W92" s="154"/>
      <c r="X92" s="153" t="s">
        <v>8</v>
      </c>
      <c r="Y92" s="154"/>
      <c r="Z92" s="153" t="s">
        <v>9</v>
      </c>
      <c r="AA92" s="154"/>
      <c r="AB92" s="153" t="s">
        <v>242</v>
      </c>
      <c r="AC92" s="154"/>
      <c r="AD92" s="153" t="s">
        <v>10</v>
      </c>
      <c r="AE92" s="154"/>
      <c r="AF92" s="153" t="s">
        <v>11</v>
      </c>
      <c r="AG92" s="154"/>
      <c r="AH92" s="153" t="s">
        <v>236</v>
      </c>
      <c r="AI92" s="154"/>
      <c r="AJ92" s="153" t="s">
        <v>245</v>
      </c>
      <c r="AK92" s="154"/>
      <c r="AL92" s="153" t="s">
        <v>12</v>
      </c>
      <c r="AM92" s="154"/>
      <c r="AN92" s="153" t="s">
        <v>237</v>
      </c>
      <c r="AO92" s="154"/>
      <c r="AP92" s="153" t="s">
        <v>238</v>
      </c>
      <c r="AQ92" s="154"/>
      <c r="AR92" s="153" t="s">
        <v>241</v>
      </c>
      <c r="AS92" s="154"/>
      <c r="AT92" s="153" t="s">
        <v>13</v>
      </c>
      <c r="AU92" s="154"/>
      <c r="AV92" s="153" t="s">
        <v>14</v>
      </c>
      <c r="AW92" s="154"/>
      <c r="AX92" s="153" t="s">
        <v>15</v>
      </c>
      <c r="AY92" s="154"/>
      <c r="AZ92" s="153" t="s">
        <v>16</v>
      </c>
      <c r="BA92" s="154"/>
      <c r="BB92" s="153" t="s">
        <v>17</v>
      </c>
      <c r="BC92" s="154"/>
      <c r="BD92" s="153" t="s">
        <v>239</v>
      </c>
      <c r="BE92" s="154"/>
      <c r="BF92" s="153" t="s">
        <v>240</v>
      </c>
      <c r="BG92" s="154"/>
      <c r="BH92" s="153" t="s">
        <v>18</v>
      </c>
      <c r="BI92" s="154"/>
      <c r="BJ92" s="153" t="s">
        <v>19</v>
      </c>
      <c r="BK92" s="154"/>
      <c r="BL92" s="155" t="s">
        <v>20</v>
      </c>
      <c r="BM92" s="156"/>
    </row>
    <row r="93" spans="1:65" ht="30" x14ac:dyDescent="0.25">
      <c r="A93" s="1"/>
      <c r="B93" s="53" t="s">
        <v>303</v>
      </c>
      <c r="C93" s="54" t="s">
        <v>302</v>
      </c>
      <c r="D93" s="53" t="s">
        <v>303</v>
      </c>
      <c r="E93" s="54" t="s">
        <v>302</v>
      </c>
      <c r="F93" s="53" t="s">
        <v>303</v>
      </c>
      <c r="G93" s="54" t="s">
        <v>302</v>
      </c>
      <c r="H93" s="53" t="s">
        <v>303</v>
      </c>
      <c r="I93" s="54" t="s">
        <v>302</v>
      </c>
      <c r="J93" s="53" t="s">
        <v>303</v>
      </c>
      <c r="K93" s="54" t="s">
        <v>302</v>
      </c>
      <c r="L93" s="53" t="s">
        <v>303</v>
      </c>
      <c r="M93" s="54" t="s">
        <v>302</v>
      </c>
      <c r="N93" s="53" t="s">
        <v>303</v>
      </c>
      <c r="O93" s="54" t="s">
        <v>302</v>
      </c>
      <c r="P93" s="53" t="s">
        <v>303</v>
      </c>
      <c r="Q93" s="54" t="s">
        <v>302</v>
      </c>
      <c r="R93" s="53" t="s">
        <v>303</v>
      </c>
      <c r="S93" s="54" t="s">
        <v>302</v>
      </c>
      <c r="T93" s="53" t="s">
        <v>303</v>
      </c>
      <c r="U93" s="54" t="s">
        <v>302</v>
      </c>
      <c r="V93" s="53" t="s">
        <v>303</v>
      </c>
      <c r="W93" s="54" t="s">
        <v>302</v>
      </c>
      <c r="X93" s="53" t="s">
        <v>303</v>
      </c>
      <c r="Y93" s="54" t="s">
        <v>302</v>
      </c>
      <c r="Z93" s="53" t="s">
        <v>303</v>
      </c>
      <c r="AA93" s="54" t="s">
        <v>302</v>
      </c>
      <c r="AB93" s="53" t="s">
        <v>303</v>
      </c>
      <c r="AC93" s="54" t="s">
        <v>302</v>
      </c>
      <c r="AD93" s="53" t="s">
        <v>303</v>
      </c>
      <c r="AE93" s="54" t="s">
        <v>302</v>
      </c>
      <c r="AF93" s="53" t="s">
        <v>303</v>
      </c>
      <c r="AG93" s="54" t="s">
        <v>302</v>
      </c>
      <c r="AH93" s="53" t="s">
        <v>303</v>
      </c>
      <c r="AI93" s="54" t="s">
        <v>302</v>
      </c>
      <c r="AJ93" s="53" t="s">
        <v>303</v>
      </c>
      <c r="AK93" s="54" t="s">
        <v>302</v>
      </c>
      <c r="AL93" s="53" t="s">
        <v>303</v>
      </c>
      <c r="AM93" s="54" t="s">
        <v>302</v>
      </c>
      <c r="AN93" s="53" t="s">
        <v>303</v>
      </c>
      <c r="AO93" s="54" t="s">
        <v>302</v>
      </c>
      <c r="AP93" s="53" t="s">
        <v>303</v>
      </c>
      <c r="AQ93" s="54" t="s">
        <v>302</v>
      </c>
      <c r="AR93" s="53" t="s">
        <v>303</v>
      </c>
      <c r="AS93" s="54" t="s">
        <v>302</v>
      </c>
      <c r="AT93" s="53" t="s">
        <v>303</v>
      </c>
      <c r="AU93" s="54" t="s">
        <v>302</v>
      </c>
      <c r="AV93" s="53" t="s">
        <v>303</v>
      </c>
      <c r="AW93" s="54" t="s">
        <v>302</v>
      </c>
      <c r="AX93" s="53" t="s">
        <v>303</v>
      </c>
      <c r="AY93" s="54" t="s">
        <v>302</v>
      </c>
      <c r="AZ93" s="53" t="s">
        <v>303</v>
      </c>
      <c r="BA93" s="54" t="s">
        <v>302</v>
      </c>
      <c r="BB93" s="53" t="s">
        <v>303</v>
      </c>
      <c r="BC93" s="54" t="s">
        <v>302</v>
      </c>
      <c r="BD93" s="53" t="s">
        <v>303</v>
      </c>
      <c r="BE93" s="54" t="s">
        <v>302</v>
      </c>
      <c r="BF93" s="53" t="s">
        <v>303</v>
      </c>
      <c r="BG93" s="54" t="s">
        <v>302</v>
      </c>
      <c r="BH93" s="53" t="s">
        <v>303</v>
      </c>
      <c r="BI93" s="54" t="s">
        <v>302</v>
      </c>
      <c r="BJ93" s="53" t="s">
        <v>303</v>
      </c>
      <c r="BK93" s="54" t="s">
        <v>302</v>
      </c>
      <c r="BL93" s="105" t="s">
        <v>303</v>
      </c>
      <c r="BM93" s="106" t="s">
        <v>302</v>
      </c>
    </row>
    <row r="94" spans="1:65" x14ac:dyDescent="0.25">
      <c r="A94" s="92" t="s">
        <v>279</v>
      </c>
      <c r="B94" s="76">
        <f t="shared" ref="B94:AE94" si="16">B105-B83-B72-B61-B50-B39-B28-B17-B6</f>
        <v>3567</v>
      </c>
      <c r="C94" s="76">
        <f t="shared" si="16"/>
        <v>6978</v>
      </c>
      <c r="D94" s="76">
        <f t="shared" si="16"/>
        <v>0</v>
      </c>
      <c r="E94" s="76">
        <f t="shared" si="16"/>
        <v>0</v>
      </c>
      <c r="F94" s="76">
        <f t="shared" si="16"/>
        <v>0</v>
      </c>
      <c r="G94" s="76">
        <f t="shared" si="16"/>
        <v>0</v>
      </c>
      <c r="H94" s="76">
        <f t="shared" si="16"/>
        <v>25759</v>
      </c>
      <c r="I94" s="76">
        <f t="shared" si="16"/>
        <v>80418</v>
      </c>
      <c r="J94" s="76">
        <f t="shared" si="16"/>
        <v>2720</v>
      </c>
      <c r="K94" s="76">
        <f t="shared" si="16"/>
        <v>4344</v>
      </c>
      <c r="L94" s="76">
        <f t="shared" si="16"/>
        <v>2292</v>
      </c>
      <c r="M94" s="76">
        <f t="shared" si="16"/>
        <v>5505</v>
      </c>
      <c r="N94" s="76">
        <f t="shared" si="16"/>
        <v>27772.080000000002</v>
      </c>
      <c r="O94" s="76">
        <f t="shared" si="16"/>
        <v>73877.789999999994</v>
      </c>
      <c r="P94" s="76">
        <f t="shared" si="16"/>
        <v>-10880.4</v>
      </c>
      <c r="Q94" s="76">
        <f t="shared" si="16"/>
        <v>242.44000000000096</v>
      </c>
      <c r="R94" s="76">
        <f t="shared" si="16"/>
        <v>9501.4299999999985</v>
      </c>
      <c r="S94" s="76">
        <f t="shared" ref="S94" si="17">S105-S83-S72-S61-S50-S39-S28-S17-S6</f>
        <v>23517.380000000034</v>
      </c>
      <c r="T94" s="76">
        <f t="shared" si="16"/>
        <v>24944</v>
      </c>
      <c r="U94" s="76">
        <f t="shared" si="16"/>
        <v>37815</v>
      </c>
      <c r="V94" s="76">
        <f t="shared" si="16"/>
        <v>16671</v>
      </c>
      <c r="W94" s="76">
        <f t="shared" si="16"/>
        <v>48609</v>
      </c>
      <c r="X94" s="76">
        <f t="shared" si="16"/>
        <v>28846</v>
      </c>
      <c r="Y94" s="76">
        <f t="shared" si="16"/>
        <v>82517</v>
      </c>
      <c r="Z94" s="76">
        <f t="shared" si="16"/>
        <v>16552</v>
      </c>
      <c r="AA94" s="76">
        <f t="shared" si="16"/>
        <v>49182</v>
      </c>
      <c r="AB94" s="76">
        <f t="shared" si="16"/>
        <v>552</v>
      </c>
      <c r="AC94" s="76">
        <f t="shared" si="16"/>
        <v>939</v>
      </c>
      <c r="AD94" s="76">
        <f t="shared" si="16"/>
        <v>2147</v>
      </c>
      <c r="AE94" s="76">
        <f t="shared" si="16"/>
        <v>6342</v>
      </c>
      <c r="AF94" s="76">
        <f t="shared" ref="AF94" si="18">AF105-AF83-AF72-AF61-AF50-AF39-AF28-AF17-AF6</f>
        <v>575.81999999999607</v>
      </c>
      <c r="AG94" s="76">
        <f t="shared" ref="AG94:BK94" si="19">AG105-AG83-AG72-AG61-AG50-AG39-AG28-AG17-AG6</f>
        <v>3405.5600000000231</v>
      </c>
      <c r="AH94" s="76">
        <f t="shared" si="19"/>
        <v>39.340000000000146</v>
      </c>
      <c r="AI94" s="76">
        <f t="shared" si="19"/>
        <v>224.38000000000466</v>
      </c>
      <c r="AJ94" s="76">
        <f t="shared" si="19"/>
        <v>0</v>
      </c>
      <c r="AK94" s="76">
        <f t="shared" si="19"/>
        <v>0</v>
      </c>
      <c r="AL94" s="76">
        <f t="shared" si="19"/>
        <v>7725.2100000000246</v>
      </c>
      <c r="AM94" s="76">
        <f t="shared" si="19"/>
        <v>31205.949999999983</v>
      </c>
      <c r="AN94" s="76">
        <f t="shared" si="19"/>
        <v>75</v>
      </c>
      <c r="AO94" s="76">
        <f t="shared" si="19"/>
        <v>217</v>
      </c>
      <c r="AP94" s="76">
        <f t="shared" si="19"/>
        <v>1513</v>
      </c>
      <c r="AQ94" s="76">
        <f t="shared" si="19"/>
        <v>5389</v>
      </c>
      <c r="AR94" s="76">
        <f t="shared" si="19"/>
        <v>4555</v>
      </c>
      <c r="AS94" s="76">
        <f t="shared" si="19"/>
        <v>12567</v>
      </c>
      <c r="AT94" s="76">
        <f t="shared" si="19"/>
        <v>483</v>
      </c>
      <c r="AU94" s="76">
        <f t="shared" si="19"/>
        <v>1716</v>
      </c>
      <c r="AV94" s="76">
        <f t="shared" si="19"/>
        <v>6242</v>
      </c>
      <c r="AW94" s="76">
        <f t="shared" si="19"/>
        <v>15735</v>
      </c>
      <c r="AX94" s="76">
        <f t="shared" si="19"/>
        <v>492</v>
      </c>
      <c r="AY94" s="76">
        <f t="shared" si="19"/>
        <v>1264</v>
      </c>
      <c r="AZ94" s="76">
        <f t="shared" si="19"/>
        <v>15</v>
      </c>
      <c r="BA94" s="76">
        <f t="shared" si="19"/>
        <v>16</v>
      </c>
      <c r="BB94" s="76">
        <f t="shared" si="19"/>
        <v>20616</v>
      </c>
      <c r="BC94" s="76">
        <f t="shared" si="19"/>
        <v>55874</v>
      </c>
      <c r="BD94" s="76">
        <f t="shared" si="19"/>
        <v>-632633</v>
      </c>
      <c r="BE94" s="76">
        <f t="shared" si="19"/>
        <v>193103</v>
      </c>
      <c r="BF94" s="76">
        <f t="shared" si="19"/>
        <v>13763</v>
      </c>
      <c r="BG94" s="76">
        <f t="shared" si="19"/>
        <v>43284</v>
      </c>
      <c r="BH94" s="76">
        <f t="shared" si="19"/>
        <v>11712.220000000001</v>
      </c>
      <c r="BI94" s="76">
        <f t="shared" si="19"/>
        <v>46148.680000000168</v>
      </c>
      <c r="BJ94" s="76">
        <f t="shared" si="19"/>
        <v>1100</v>
      </c>
      <c r="BK94" s="76">
        <f t="shared" si="19"/>
        <v>3269</v>
      </c>
      <c r="BL94" s="68">
        <f t="shared" ref="BL94:BL100" si="20">SUM(B94+D94+F94+H94+J94+L94+N94+P94+R94+T94+V94+X94+Z94+AB94+AD94+AF94+AH94+AJ94+AL94+AN94+AP94+AR94+AT94+AV94+AX94+AZ94+BB94+BD94+BF94+BH94+BJ94)</f>
        <v>-413283.30000000005</v>
      </c>
      <c r="BM94" s="68">
        <f t="shared" ref="BM94:BM100" si="21">SUM(C94+E94+G94+I94+K94+M94+O94+Q94+S94+U94+W94+Y94+AA94+AC94+AE94+AG94+AI94+AK94+AM94+AO94+AQ94+AS94+AU94+AW94+AY94+BA94+BC94+BE94+BG94+BI94+BK94)</f>
        <v>833705.18000000017</v>
      </c>
    </row>
    <row r="95" spans="1:65" x14ac:dyDescent="0.25">
      <c r="A95" s="92" t="s">
        <v>280</v>
      </c>
      <c r="B95" s="76">
        <f t="shared" ref="B95:AE95" si="22">B106-B84-B73-B62-B51-B40-B29-B18-B7</f>
        <v>0</v>
      </c>
      <c r="C95" s="76">
        <f t="shared" si="22"/>
        <v>0</v>
      </c>
      <c r="D95" s="76">
        <f t="shared" si="22"/>
        <v>0</v>
      </c>
      <c r="E95" s="76">
        <f t="shared" si="22"/>
        <v>0</v>
      </c>
      <c r="F95" s="76">
        <f t="shared" si="22"/>
        <v>0</v>
      </c>
      <c r="G95" s="76">
        <f t="shared" si="22"/>
        <v>0</v>
      </c>
      <c r="H95" s="76">
        <f t="shared" si="22"/>
        <v>17</v>
      </c>
      <c r="I95" s="76">
        <f t="shared" si="22"/>
        <v>90</v>
      </c>
      <c r="J95" s="76">
        <f t="shared" si="22"/>
        <v>0</v>
      </c>
      <c r="K95" s="76">
        <f t="shared" si="22"/>
        <v>0</v>
      </c>
      <c r="L95" s="76">
        <f t="shared" si="22"/>
        <v>0</v>
      </c>
      <c r="M95" s="76">
        <f t="shared" si="22"/>
        <v>104</v>
      </c>
      <c r="N95" s="76">
        <f t="shared" si="22"/>
        <v>0</v>
      </c>
      <c r="O95" s="76">
        <f t="shared" si="22"/>
        <v>0</v>
      </c>
      <c r="P95" s="76">
        <f t="shared" si="22"/>
        <v>-430.57</v>
      </c>
      <c r="Q95" s="76">
        <f t="shared" si="22"/>
        <v>0</v>
      </c>
      <c r="R95" s="76">
        <f t="shared" si="22"/>
        <v>6.959999999999809</v>
      </c>
      <c r="S95" s="76">
        <f t="shared" ref="S95" si="23">S106-S84-S73-S62-S51-S40-S29-S18-S7</f>
        <v>138.28999999999996</v>
      </c>
      <c r="T95" s="76">
        <f t="shared" si="22"/>
        <v>106</v>
      </c>
      <c r="U95" s="76">
        <f t="shared" si="22"/>
        <v>686</v>
      </c>
      <c r="V95" s="76">
        <f t="shared" si="22"/>
        <v>836</v>
      </c>
      <c r="W95" s="76">
        <f t="shared" si="22"/>
        <v>2291</v>
      </c>
      <c r="X95" s="76">
        <f t="shared" si="22"/>
        <v>466</v>
      </c>
      <c r="Y95" s="76">
        <f t="shared" si="22"/>
        <v>1697</v>
      </c>
      <c r="Z95" s="76">
        <f t="shared" si="22"/>
        <v>241</v>
      </c>
      <c r="AA95" s="76">
        <f t="shared" si="22"/>
        <v>896</v>
      </c>
      <c r="AB95" s="76">
        <f t="shared" si="22"/>
        <v>0</v>
      </c>
      <c r="AC95" s="76">
        <f t="shared" si="22"/>
        <v>19</v>
      </c>
      <c r="AD95" s="76">
        <f t="shared" si="22"/>
        <v>102</v>
      </c>
      <c r="AE95" s="76">
        <f t="shared" si="22"/>
        <v>170</v>
      </c>
      <c r="AF95" s="76">
        <f t="shared" ref="AF95" si="24">AF106-AF84-AF73-AF62-AF51-AF40-AF29-AF18-AF7</f>
        <v>169.13999999999987</v>
      </c>
      <c r="AG95" s="76">
        <f t="shared" ref="AG95:BK95" si="25">AG106-AG84-AG73-AG62-AG51-AG40-AG29-AG18-AG7</f>
        <v>178.18000000000029</v>
      </c>
      <c r="AH95" s="76">
        <f t="shared" si="25"/>
        <v>0</v>
      </c>
      <c r="AI95" s="76">
        <f t="shared" si="25"/>
        <v>0</v>
      </c>
      <c r="AJ95" s="76">
        <f t="shared" si="25"/>
        <v>0</v>
      </c>
      <c r="AK95" s="76">
        <f t="shared" si="25"/>
        <v>0</v>
      </c>
      <c r="AL95" s="76">
        <f t="shared" si="25"/>
        <v>337.19999999999982</v>
      </c>
      <c r="AM95" s="76">
        <f t="shared" si="25"/>
        <v>1344.0500000000011</v>
      </c>
      <c r="AN95" s="76">
        <f t="shared" si="25"/>
        <v>0</v>
      </c>
      <c r="AO95" s="76">
        <f t="shared" si="25"/>
        <v>0</v>
      </c>
      <c r="AP95" s="76">
        <f t="shared" si="25"/>
        <v>129</v>
      </c>
      <c r="AQ95" s="76">
        <f t="shared" si="25"/>
        <v>647</v>
      </c>
      <c r="AR95" s="76">
        <f t="shared" si="25"/>
        <v>241</v>
      </c>
      <c r="AS95" s="76">
        <f t="shared" si="25"/>
        <v>283</v>
      </c>
      <c r="AT95" s="76">
        <f t="shared" si="25"/>
        <v>-1</v>
      </c>
      <c r="AU95" s="76">
        <f t="shared" si="25"/>
        <v>2</v>
      </c>
      <c r="AV95" s="76">
        <f t="shared" si="25"/>
        <v>180</v>
      </c>
      <c r="AW95" s="76">
        <f t="shared" si="25"/>
        <v>1065</v>
      </c>
      <c r="AX95" s="76">
        <f t="shared" si="25"/>
        <v>1</v>
      </c>
      <c r="AY95" s="76">
        <f t="shared" si="25"/>
        <v>0</v>
      </c>
      <c r="AZ95" s="76">
        <f t="shared" si="25"/>
        <v>0</v>
      </c>
      <c r="BA95" s="76">
        <f t="shared" si="25"/>
        <v>0</v>
      </c>
      <c r="BB95" s="76">
        <f t="shared" si="25"/>
        <v>1693</v>
      </c>
      <c r="BC95" s="76">
        <f t="shared" si="25"/>
        <v>4154</v>
      </c>
      <c r="BD95" s="76">
        <f t="shared" si="25"/>
        <v>-29375</v>
      </c>
      <c r="BE95" s="76">
        <f t="shared" si="25"/>
        <v>2079</v>
      </c>
      <c r="BF95" s="76">
        <f t="shared" si="25"/>
        <v>79</v>
      </c>
      <c r="BG95" s="76">
        <f t="shared" si="25"/>
        <v>859</v>
      </c>
      <c r="BH95" s="76">
        <f t="shared" si="25"/>
        <v>301.20000000000073</v>
      </c>
      <c r="BI95" s="76">
        <f t="shared" si="25"/>
        <v>1785.8199999999997</v>
      </c>
      <c r="BJ95" s="76">
        <f t="shared" si="25"/>
        <v>0</v>
      </c>
      <c r="BK95" s="76">
        <f t="shared" si="25"/>
        <v>0</v>
      </c>
      <c r="BL95" s="68">
        <f t="shared" si="20"/>
        <v>-24901.07</v>
      </c>
      <c r="BM95" s="68">
        <f t="shared" si="21"/>
        <v>18488.34</v>
      </c>
    </row>
    <row r="96" spans="1:65" x14ac:dyDescent="0.25">
      <c r="A96" s="92" t="s">
        <v>281</v>
      </c>
      <c r="B96" s="76">
        <f t="shared" ref="B96:AE96" si="26">B107-B85-B74-B63-B52-B41-B30-B19-B8</f>
        <v>1702</v>
      </c>
      <c r="C96" s="76">
        <f t="shared" si="26"/>
        <v>3199</v>
      </c>
      <c r="D96" s="76">
        <f t="shared" si="26"/>
        <v>0</v>
      </c>
      <c r="E96" s="76">
        <f t="shared" si="26"/>
        <v>0</v>
      </c>
      <c r="F96" s="76">
        <f t="shared" si="26"/>
        <v>0</v>
      </c>
      <c r="G96" s="76">
        <f t="shared" si="26"/>
        <v>0</v>
      </c>
      <c r="H96" s="76">
        <f t="shared" si="26"/>
        <v>-13782</v>
      </c>
      <c r="I96" s="76">
        <f t="shared" si="26"/>
        <v>-48363</v>
      </c>
      <c r="J96" s="76">
        <f t="shared" si="26"/>
        <v>320</v>
      </c>
      <c r="K96" s="76">
        <f t="shared" si="26"/>
        <v>592</v>
      </c>
      <c r="L96" s="76">
        <f t="shared" si="26"/>
        <v>221</v>
      </c>
      <c r="M96" s="76">
        <f t="shared" si="26"/>
        <v>816</v>
      </c>
      <c r="N96" s="76">
        <f t="shared" si="26"/>
        <v>5158.55</v>
      </c>
      <c r="O96" s="76">
        <f t="shared" si="26"/>
        <v>14951.88</v>
      </c>
      <c r="P96" s="76">
        <f t="shared" si="26"/>
        <v>-4340.26</v>
      </c>
      <c r="Q96" s="76">
        <f t="shared" si="26"/>
        <v>96.199999999999591</v>
      </c>
      <c r="R96" s="76">
        <f t="shared" si="26"/>
        <v>2745.6100000000006</v>
      </c>
      <c r="S96" s="76">
        <f t="shared" ref="S96" si="27">S107-S85-S74-S63-S52-S41-S30-S19-S8</f>
        <v>8317.5099999999948</v>
      </c>
      <c r="T96" s="76">
        <f t="shared" si="26"/>
        <v>10314</v>
      </c>
      <c r="U96" s="76">
        <f t="shared" si="26"/>
        <v>11800</v>
      </c>
      <c r="V96" s="76">
        <f t="shared" si="26"/>
        <v>-11082</v>
      </c>
      <c r="W96" s="76">
        <f t="shared" si="26"/>
        <v>-31019</v>
      </c>
      <c r="X96" s="76">
        <f t="shared" si="26"/>
        <v>12367</v>
      </c>
      <c r="Y96" s="76">
        <f t="shared" si="26"/>
        <v>39490</v>
      </c>
      <c r="Z96" s="76">
        <f t="shared" si="26"/>
        <v>5842</v>
      </c>
      <c r="AA96" s="76">
        <f t="shared" si="26"/>
        <v>18712</v>
      </c>
      <c r="AB96" s="76">
        <f t="shared" si="26"/>
        <v>337</v>
      </c>
      <c r="AC96" s="76">
        <f t="shared" si="26"/>
        <v>660</v>
      </c>
      <c r="AD96" s="76">
        <f t="shared" si="26"/>
        <v>720</v>
      </c>
      <c r="AE96" s="76">
        <f t="shared" si="26"/>
        <v>3651</v>
      </c>
      <c r="AF96" s="76">
        <f t="shared" ref="AF96" si="28">AF107-AF85-AF74-AF63-AF52-AF41-AF30-AF19-AF8</f>
        <v>-1022.3399999999983</v>
      </c>
      <c r="AG96" s="76">
        <f t="shared" ref="AG96:BK96" si="29">AG107-AG85-AG74-AG63-AG52-AG41-AG30-AG19-AG8</f>
        <v>-3327.4400000000023</v>
      </c>
      <c r="AH96" s="76">
        <f t="shared" si="29"/>
        <v>1.9800000000000182</v>
      </c>
      <c r="AI96" s="76">
        <f t="shared" si="29"/>
        <v>11.230000000000018</v>
      </c>
      <c r="AJ96" s="76">
        <f t="shared" si="29"/>
        <v>-1</v>
      </c>
      <c r="AK96" s="76">
        <f t="shared" si="29"/>
        <v>-1</v>
      </c>
      <c r="AL96" s="76">
        <f t="shared" si="29"/>
        <v>1087.2499999999945</v>
      </c>
      <c r="AM96" s="76">
        <f t="shared" si="29"/>
        <v>4082.8600000000006</v>
      </c>
      <c r="AN96" s="76">
        <f t="shared" si="29"/>
        <v>-10</v>
      </c>
      <c r="AO96" s="76">
        <f t="shared" si="29"/>
        <v>-28</v>
      </c>
      <c r="AP96" s="76">
        <f t="shared" si="29"/>
        <v>412</v>
      </c>
      <c r="AQ96" s="76">
        <f t="shared" si="29"/>
        <v>1548</v>
      </c>
      <c r="AR96" s="76">
        <f t="shared" si="29"/>
        <v>1346</v>
      </c>
      <c r="AS96" s="76">
        <f t="shared" si="29"/>
        <v>2887284</v>
      </c>
      <c r="AT96" s="76">
        <f t="shared" si="29"/>
        <v>174</v>
      </c>
      <c r="AU96" s="76">
        <f t="shared" si="29"/>
        <v>691</v>
      </c>
      <c r="AV96" s="76">
        <f t="shared" si="29"/>
        <v>2951</v>
      </c>
      <c r="AW96" s="76">
        <f t="shared" si="29"/>
        <v>6645</v>
      </c>
      <c r="AX96" s="76">
        <f t="shared" si="29"/>
        <v>156</v>
      </c>
      <c r="AY96" s="76">
        <f t="shared" si="29"/>
        <v>402</v>
      </c>
      <c r="AZ96" s="76">
        <f t="shared" si="29"/>
        <v>10</v>
      </c>
      <c r="BA96" s="76">
        <f t="shared" si="29"/>
        <v>33</v>
      </c>
      <c r="BB96" s="76">
        <f t="shared" si="29"/>
        <v>13760</v>
      </c>
      <c r="BC96" s="76">
        <f t="shared" si="29"/>
        <v>39344</v>
      </c>
      <c r="BD96" s="76">
        <f t="shared" si="29"/>
        <v>-196336</v>
      </c>
      <c r="BE96" s="76">
        <f t="shared" si="29"/>
        <v>50107</v>
      </c>
      <c r="BF96" s="76">
        <f t="shared" si="29"/>
        <v>1628</v>
      </c>
      <c r="BG96" s="76">
        <f t="shared" si="29"/>
        <v>7930</v>
      </c>
      <c r="BH96" s="76">
        <f t="shared" si="29"/>
        <v>-3476</v>
      </c>
      <c r="BI96" s="76">
        <f t="shared" si="29"/>
        <v>4999</v>
      </c>
      <c r="BJ96" s="76">
        <f t="shared" si="29"/>
        <v>325</v>
      </c>
      <c r="BK96" s="76">
        <f t="shared" si="29"/>
        <v>1433</v>
      </c>
      <c r="BL96" s="68">
        <f t="shared" si="20"/>
        <v>-168471.21</v>
      </c>
      <c r="BM96" s="68">
        <f t="shared" si="21"/>
        <v>3024057.24</v>
      </c>
    </row>
    <row r="97" spans="1:65" s="7" customFormat="1" x14ac:dyDescent="0.25">
      <c r="A97" s="10" t="s">
        <v>282</v>
      </c>
      <c r="B97" s="10">
        <f t="shared" ref="B97:R97" si="30">B108-B86-B75-B64-B53-B42-B31-B20-B9</f>
        <v>1865</v>
      </c>
      <c r="C97" s="10">
        <f t="shared" si="30"/>
        <v>3779</v>
      </c>
      <c r="D97" s="10">
        <f t="shared" si="30"/>
        <v>0</v>
      </c>
      <c r="E97" s="10">
        <f t="shared" si="30"/>
        <v>0</v>
      </c>
      <c r="F97" s="10">
        <f t="shared" si="30"/>
        <v>0</v>
      </c>
      <c r="G97" s="10">
        <f t="shared" si="30"/>
        <v>0</v>
      </c>
      <c r="H97" s="10">
        <f t="shared" si="30"/>
        <v>11994</v>
      </c>
      <c r="I97" s="10">
        <f t="shared" si="30"/>
        <v>32146</v>
      </c>
      <c r="J97" s="10">
        <f t="shared" si="30"/>
        <v>2400</v>
      </c>
      <c r="K97" s="10">
        <f t="shared" si="30"/>
        <v>3752</v>
      </c>
      <c r="L97" s="10">
        <f t="shared" si="30"/>
        <v>2071</v>
      </c>
      <c r="M97" s="10">
        <f t="shared" si="30"/>
        <v>4793</v>
      </c>
      <c r="N97" s="10">
        <f t="shared" si="30"/>
        <v>22613.53</v>
      </c>
      <c r="O97" s="10">
        <f t="shared" si="30"/>
        <v>58925.91</v>
      </c>
      <c r="P97" s="10">
        <f t="shared" si="30"/>
        <v>-6970.71</v>
      </c>
      <c r="Q97" s="10">
        <f t="shared" si="30"/>
        <v>146.24000000000103</v>
      </c>
      <c r="R97" s="10">
        <f t="shared" si="30"/>
        <v>6762.7599999999939</v>
      </c>
      <c r="S97" s="10">
        <f t="shared" ref="S97:AH98" si="31">S108-S86-S75-S64-S53-S42-S31-S20-S9</f>
        <v>15338.130000000006</v>
      </c>
      <c r="T97" s="10">
        <f t="shared" ref="T97:BK97" si="32">T108-T86-T75-T64-T53-T42-T31-T20-T9</f>
        <v>14736</v>
      </c>
      <c r="U97" s="10">
        <f t="shared" si="32"/>
        <v>26701</v>
      </c>
      <c r="V97" s="10">
        <f t="shared" si="32"/>
        <v>6424</v>
      </c>
      <c r="W97" s="10">
        <f t="shared" si="32"/>
        <v>19881</v>
      </c>
      <c r="X97" s="10">
        <f t="shared" si="32"/>
        <v>16943</v>
      </c>
      <c r="Y97" s="10">
        <f t="shared" si="32"/>
        <v>44724</v>
      </c>
      <c r="Z97" s="10">
        <f t="shared" si="32"/>
        <v>10949</v>
      </c>
      <c r="AA97" s="10">
        <f t="shared" si="32"/>
        <v>31366</v>
      </c>
      <c r="AB97" s="10">
        <f t="shared" si="32"/>
        <v>216</v>
      </c>
      <c r="AC97" s="10">
        <f t="shared" si="32"/>
        <v>298</v>
      </c>
      <c r="AD97" s="10">
        <f t="shared" si="32"/>
        <v>1530</v>
      </c>
      <c r="AE97" s="10">
        <f t="shared" si="32"/>
        <v>2861</v>
      </c>
      <c r="AF97" s="10">
        <f t="shared" si="32"/>
        <v>-277.37999999999784</v>
      </c>
      <c r="AG97" s="10">
        <f t="shared" si="32"/>
        <v>256.30000000000518</v>
      </c>
      <c r="AH97" s="10">
        <f t="shared" si="32"/>
        <v>37.370000000002619</v>
      </c>
      <c r="AI97" s="10">
        <f t="shared" si="32"/>
        <v>213.16000000000349</v>
      </c>
      <c r="AJ97" s="10">
        <f t="shared" si="32"/>
        <v>0</v>
      </c>
      <c r="AK97" s="10">
        <f t="shared" si="32"/>
        <v>0</v>
      </c>
      <c r="AL97" s="10">
        <f t="shared" si="32"/>
        <v>6975.1400000000158</v>
      </c>
      <c r="AM97" s="10">
        <f t="shared" si="32"/>
        <v>28467.12000000017</v>
      </c>
      <c r="AN97" s="10">
        <f t="shared" si="32"/>
        <v>66</v>
      </c>
      <c r="AO97" s="10">
        <f t="shared" si="32"/>
        <v>191</v>
      </c>
      <c r="AP97" s="10">
        <f t="shared" si="32"/>
        <v>1228</v>
      </c>
      <c r="AQ97" s="10">
        <f t="shared" si="32"/>
        <v>4490</v>
      </c>
      <c r="AR97" s="10">
        <f t="shared" si="32"/>
        <v>3451</v>
      </c>
      <c r="AS97" s="10">
        <f t="shared" si="32"/>
        <v>9165</v>
      </c>
      <c r="AT97" s="10">
        <f t="shared" si="32"/>
        <v>308</v>
      </c>
      <c r="AU97" s="10">
        <f t="shared" si="32"/>
        <v>1026</v>
      </c>
      <c r="AV97" s="10">
        <f t="shared" si="32"/>
        <v>3472</v>
      </c>
      <c r="AW97" s="10">
        <f t="shared" si="32"/>
        <v>10155</v>
      </c>
      <c r="AX97" s="10">
        <f t="shared" si="32"/>
        <v>337</v>
      </c>
      <c r="AY97" s="10">
        <f t="shared" si="32"/>
        <v>863</v>
      </c>
      <c r="AZ97" s="10">
        <f t="shared" si="32"/>
        <v>4</v>
      </c>
      <c r="BA97" s="10">
        <f t="shared" si="32"/>
        <v>-18</v>
      </c>
      <c r="BB97" s="10">
        <f t="shared" si="32"/>
        <v>8549</v>
      </c>
      <c r="BC97" s="10">
        <f t="shared" si="32"/>
        <v>20683</v>
      </c>
      <c r="BD97" s="10">
        <f t="shared" si="32"/>
        <v>-465673</v>
      </c>
      <c r="BE97" s="10">
        <f t="shared" si="32"/>
        <v>145075</v>
      </c>
      <c r="BF97" s="10">
        <f t="shared" si="32"/>
        <v>12214</v>
      </c>
      <c r="BG97" s="10">
        <f t="shared" si="32"/>
        <v>36213</v>
      </c>
      <c r="BH97" s="10">
        <f t="shared" si="32"/>
        <v>15488</v>
      </c>
      <c r="BI97" s="10">
        <f t="shared" si="32"/>
        <v>42934</v>
      </c>
      <c r="BJ97" s="10">
        <f t="shared" si="32"/>
        <v>771</v>
      </c>
      <c r="BK97" s="10">
        <f t="shared" si="32"/>
        <v>1835</v>
      </c>
      <c r="BL97" s="63">
        <f t="shared" si="20"/>
        <v>-321516.29000000004</v>
      </c>
      <c r="BM97" s="63">
        <f t="shared" si="21"/>
        <v>546259.86000000022</v>
      </c>
    </row>
    <row r="98" spans="1:65" x14ac:dyDescent="0.25">
      <c r="A98" s="92" t="s">
        <v>283</v>
      </c>
      <c r="B98" s="92">
        <f t="shared" ref="B98:R98" si="33">B109-B87-B76-B65-B54-B43-B32-B21-B10</f>
        <v>1100</v>
      </c>
      <c r="C98" s="92">
        <f t="shared" si="33"/>
        <v>1067</v>
      </c>
      <c r="D98" s="92">
        <f t="shared" si="33"/>
        <v>0</v>
      </c>
      <c r="E98" s="92">
        <f t="shared" si="33"/>
        <v>0</v>
      </c>
      <c r="F98" s="92">
        <f t="shared" si="33"/>
        <v>0</v>
      </c>
      <c r="G98" s="92">
        <f t="shared" si="33"/>
        <v>0</v>
      </c>
      <c r="H98" s="92">
        <f t="shared" si="33"/>
        <v>30990</v>
      </c>
      <c r="I98" s="92">
        <f t="shared" si="33"/>
        <v>30171</v>
      </c>
      <c r="J98" s="92">
        <f t="shared" si="33"/>
        <v>524</v>
      </c>
      <c r="K98" s="92">
        <f t="shared" si="33"/>
        <v>432</v>
      </c>
      <c r="L98" s="92">
        <f t="shared" si="33"/>
        <v>3174</v>
      </c>
      <c r="M98" s="92">
        <f t="shared" si="33"/>
        <v>2667</v>
      </c>
      <c r="N98" s="92">
        <f t="shared" si="33"/>
        <v>10981.84</v>
      </c>
      <c r="O98" s="92">
        <f t="shared" si="33"/>
        <v>28512.959999999999</v>
      </c>
      <c r="P98" s="92">
        <f t="shared" si="33"/>
        <v>-12792.639999999998</v>
      </c>
      <c r="Q98" s="92">
        <f t="shared" si="33"/>
        <v>1.9499999999985107</v>
      </c>
      <c r="R98" s="92">
        <f t="shared" si="33"/>
        <v>17457.589999999986</v>
      </c>
      <c r="S98" s="92">
        <f t="shared" si="31"/>
        <v>16260.280000000006</v>
      </c>
      <c r="T98" s="92">
        <f t="shared" si="31"/>
        <v>7531</v>
      </c>
      <c r="U98" s="92">
        <f t="shared" si="31"/>
        <v>2125</v>
      </c>
      <c r="V98" s="92">
        <f t="shared" si="31"/>
        <v>20267</v>
      </c>
      <c r="W98" s="92">
        <f t="shared" si="31"/>
        <v>17724</v>
      </c>
      <c r="X98" s="92">
        <f t="shared" si="31"/>
        <v>58703</v>
      </c>
      <c r="Y98" s="92">
        <f t="shared" si="31"/>
        <v>52338</v>
      </c>
      <c r="Z98" s="92">
        <f t="shared" si="31"/>
        <v>0</v>
      </c>
      <c r="AA98" s="92">
        <f t="shared" si="31"/>
        <v>12204</v>
      </c>
      <c r="AB98" s="92">
        <f t="shared" si="31"/>
        <v>1895</v>
      </c>
      <c r="AC98" s="92">
        <f t="shared" si="31"/>
        <v>2106</v>
      </c>
      <c r="AD98" s="92">
        <f t="shared" si="31"/>
        <v>2068</v>
      </c>
      <c r="AE98" s="92">
        <f t="shared" si="31"/>
        <v>2890</v>
      </c>
      <c r="AF98" s="92">
        <f t="shared" si="31"/>
        <v>39.400000000004184</v>
      </c>
      <c r="AG98" s="92">
        <f t="shared" si="31"/>
        <v>186.4200000000078</v>
      </c>
      <c r="AH98" s="92">
        <f t="shared" si="31"/>
        <v>80.470000000001164</v>
      </c>
      <c r="AI98" s="92">
        <f t="shared" ref="AI98:BK98" si="34">AI109-AI87-AI76-AI65-AI54-AI43-AI32-AI21-AI10</f>
        <v>61.370000000002619</v>
      </c>
      <c r="AJ98" s="92">
        <f t="shared" si="34"/>
        <v>-1</v>
      </c>
      <c r="AK98" s="92">
        <f t="shared" si="34"/>
        <v>0</v>
      </c>
      <c r="AL98" s="92">
        <f t="shared" si="34"/>
        <v>18273.819999999934</v>
      </c>
      <c r="AM98" s="92">
        <f t="shared" si="34"/>
        <v>16117.520000000019</v>
      </c>
      <c r="AN98" s="92">
        <f t="shared" si="34"/>
        <v>278</v>
      </c>
      <c r="AO98" s="92">
        <f t="shared" si="34"/>
        <v>437</v>
      </c>
      <c r="AP98" s="92">
        <f t="shared" si="34"/>
        <v>4647</v>
      </c>
      <c r="AQ98" s="92">
        <f t="shared" si="34"/>
        <v>4154</v>
      </c>
      <c r="AR98" s="92">
        <f t="shared" si="34"/>
        <v>4115</v>
      </c>
      <c r="AS98" s="92">
        <f t="shared" si="34"/>
        <v>3586</v>
      </c>
      <c r="AT98" s="92">
        <f t="shared" si="34"/>
        <v>593</v>
      </c>
      <c r="AU98" s="92">
        <f t="shared" si="34"/>
        <v>533</v>
      </c>
      <c r="AV98" s="92">
        <f t="shared" si="34"/>
        <v>9076</v>
      </c>
      <c r="AW98" s="92">
        <f t="shared" si="34"/>
        <v>25109</v>
      </c>
      <c r="AX98" s="92">
        <f t="shared" si="34"/>
        <v>549</v>
      </c>
      <c r="AY98" s="92">
        <f t="shared" si="34"/>
        <v>651</v>
      </c>
      <c r="AZ98" s="92">
        <f t="shared" si="34"/>
        <v>0</v>
      </c>
      <c r="BA98" s="92">
        <f t="shared" si="34"/>
        <v>22</v>
      </c>
      <c r="BB98" s="92">
        <f t="shared" si="34"/>
        <v>11036</v>
      </c>
      <c r="BC98" s="92">
        <f t="shared" si="34"/>
        <v>12592</v>
      </c>
      <c r="BD98" s="92">
        <f t="shared" si="34"/>
        <v>-794779</v>
      </c>
      <c r="BE98" s="92">
        <f t="shared" si="34"/>
        <v>65915</v>
      </c>
      <c r="BF98" s="92">
        <f t="shared" si="34"/>
        <v>0</v>
      </c>
      <c r="BG98" s="92">
        <f t="shared" si="34"/>
        <v>0</v>
      </c>
      <c r="BH98" s="92">
        <f t="shared" si="34"/>
        <v>27918</v>
      </c>
      <c r="BI98" s="92">
        <f t="shared" si="34"/>
        <v>27269</v>
      </c>
      <c r="BJ98" s="92">
        <f t="shared" si="34"/>
        <v>2354</v>
      </c>
      <c r="BK98" s="92">
        <f t="shared" si="34"/>
        <v>2998</v>
      </c>
      <c r="BL98" s="68">
        <f t="shared" si="20"/>
        <v>-573921.52</v>
      </c>
      <c r="BM98" s="68">
        <f t="shared" si="21"/>
        <v>328130.5</v>
      </c>
    </row>
    <row r="99" spans="1:65" x14ac:dyDescent="0.25">
      <c r="A99" s="2" t="s">
        <v>284</v>
      </c>
      <c r="B99" s="92">
        <f t="shared" ref="B99:AE99" si="35">B110-B88-B77-B66-B55-B44-B33-B22-B11</f>
        <v>1647</v>
      </c>
      <c r="C99" s="92">
        <f t="shared" si="35"/>
        <v>1647</v>
      </c>
      <c r="D99" s="92">
        <f t="shared" si="35"/>
        <v>0</v>
      </c>
      <c r="E99" s="92">
        <f t="shared" si="35"/>
        <v>0</v>
      </c>
      <c r="F99" s="92">
        <f t="shared" si="35"/>
        <v>0</v>
      </c>
      <c r="G99" s="92">
        <f t="shared" si="35"/>
        <v>0</v>
      </c>
      <c r="H99" s="92">
        <f t="shared" si="35"/>
        <v>32544</v>
      </c>
      <c r="I99" s="92">
        <f t="shared" si="35"/>
        <v>32544</v>
      </c>
      <c r="J99" s="92">
        <f t="shared" si="35"/>
        <v>1371</v>
      </c>
      <c r="K99" s="92">
        <f t="shared" si="35"/>
        <v>1371</v>
      </c>
      <c r="L99" s="92">
        <f t="shared" si="35"/>
        <v>3829</v>
      </c>
      <c r="M99" s="92">
        <f t="shared" si="35"/>
        <v>3829</v>
      </c>
      <c r="N99" s="92">
        <f t="shared" si="35"/>
        <v>11306.76</v>
      </c>
      <c r="O99" s="92">
        <f t="shared" si="35"/>
        <v>29462.95</v>
      </c>
      <c r="P99" s="92">
        <f t="shared" si="35"/>
        <v>-13713.99</v>
      </c>
      <c r="Q99" s="92">
        <f t="shared" si="35"/>
        <v>2.3999999999995225</v>
      </c>
      <c r="R99" s="92">
        <f t="shared" si="35"/>
        <v>18609.989999999998</v>
      </c>
      <c r="S99" s="92">
        <f t="shared" si="35"/>
        <v>18609.989999999998</v>
      </c>
      <c r="T99" s="92">
        <f t="shared" si="35"/>
        <v>15304</v>
      </c>
      <c r="U99" s="92">
        <f t="shared" si="35"/>
        <v>15304</v>
      </c>
      <c r="V99" s="92">
        <f t="shared" si="35"/>
        <v>-21493</v>
      </c>
      <c r="W99" s="92">
        <f t="shared" si="35"/>
        <v>-21493</v>
      </c>
      <c r="X99" s="92">
        <f t="shared" si="35"/>
        <v>60814</v>
      </c>
      <c r="Y99" s="92">
        <f t="shared" si="35"/>
        <v>60813</v>
      </c>
      <c r="Z99" s="92">
        <f t="shared" si="35"/>
        <v>2342</v>
      </c>
      <c r="AA99" s="92">
        <f t="shared" si="35"/>
        <v>22502</v>
      </c>
      <c r="AB99" s="92">
        <f t="shared" si="35"/>
        <v>1982</v>
      </c>
      <c r="AC99" s="92">
        <f t="shared" si="35"/>
        <v>1982</v>
      </c>
      <c r="AD99" s="92">
        <f t="shared" si="35"/>
        <v>2277</v>
      </c>
      <c r="AE99" s="92">
        <f t="shared" si="35"/>
        <v>2277</v>
      </c>
      <c r="AF99" s="92">
        <f t="shared" ref="AF99:AU99" si="36">AF110-AF88-AF77-AF66-AF55-AF44-AF33-AF22-AF11</f>
        <v>-2.4699999999947977</v>
      </c>
      <c r="AG99" s="92">
        <f t="shared" si="36"/>
        <v>-169.03999999999451</v>
      </c>
      <c r="AH99" s="92">
        <f t="shared" si="36"/>
        <v>87.369999999995343</v>
      </c>
      <c r="AI99" s="92">
        <f t="shared" si="36"/>
        <v>87.369999999995343</v>
      </c>
      <c r="AJ99" s="92">
        <f t="shared" si="36"/>
        <v>0</v>
      </c>
      <c r="AK99" s="92">
        <f t="shared" si="36"/>
        <v>0</v>
      </c>
      <c r="AL99" s="92">
        <f t="shared" si="36"/>
        <v>18400.110000000066</v>
      </c>
      <c r="AM99" s="92">
        <f t="shared" si="36"/>
        <v>18400.110000000066</v>
      </c>
      <c r="AN99" s="92">
        <f t="shared" si="36"/>
        <v>-255</v>
      </c>
      <c r="AO99" s="92">
        <f t="shared" si="36"/>
        <v>-255</v>
      </c>
      <c r="AP99" s="92">
        <f t="shared" si="36"/>
        <v>4404</v>
      </c>
      <c r="AQ99" s="92">
        <f t="shared" si="36"/>
        <v>4404</v>
      </c>
      <c r="AR99" s="92">
        <f t="shared" si="36"/>
        <v>4518</v>
      </c>
      <c r="AS99" s="92">
        <f t="shared" si="36"/>
        <v>4518</v>
      </c>
      <c r="AT99" s="92">
        <f t="shared" si="36"/>
        <v>550</v>
      </c>
      <c r="AU99" s="92">
        <f t="shared" si="36"/>
        <v>550</v>
      </c>
      <c r="AV99" s="92">
        <f t="shared" ref="AV99:BK99" si="37">AV110-AV88-AV77-AV66-AV55-AV44-AV33-AV22-AV11</f>
        <v>8133</v>
      </c>
      <c r="AW99" s="92">
        <f t="shared" si="37"/>
        <v>14628</v>
      </c>
      <c r="AX99" s="92">
        <f t="shared" si="37"/>
        <v>575</v>
      </c>
      <c r="AY99" s="92">
        <f t="shared" si="37"/>
        <v>575</v>
      </c>
      <c r="AZ99" s="92">
        <f t="shared" si="37"/>
        <v>3</v>
      </c>
      <c r="BA99" s="92">
        <f t="shared" si="37"/>
        <v>3</v>
      </c>
      <c r="BB99" s="92">
        <f t="shared" si="37"/>
        <v>11987</v>
      </c>
      <c r="BC99" s="92">
        <f t="shared" si="37"/>
        <v>11987</v>
      </c>
      <c r="BD99" s="92">
        <f t="shared" si="37"/>
        <v>-777303</v>
      </c>
      <c r="BE99" s="92">
        <f t="shared" si="37"/>
        <v>61822</v>
      </c>
      <c r="BF99" s="92">
        <f t="shared" si="37"/>
        <v>190</v>
      </c>
      <c r="BG99" s="92">
        <f t="shared" si="37"/>
        <v>-188</v>
      </c>
      <c r="BH99" s="92">
        <f t="shared" si="37"/>
        <v>39501</v>
      </c>
      <c r="BI99" s="92">
        <f t="shared" si="37"/>
        <v>39501</v>
      </c>
      <c r="BJ99" s="92">
        <f t="shared" si="37"/>
        <v>-2296</v>
      </c>
      <c r="BK99" s="92">
        <f t="shared" si="37"/>
        <v>-2296</v>
      </c>
      <c r="BL99" s="68">
        <f t="shared" si="20"/>
        <v>-574688.23</v>
      </c>
      <c r="BM99" s="68">
        <f t="shared" si="21"/>
        <v>322418.78000000003</v>
      </c>
    </row>
    <row r="100" spans="1:65" s="7" customFormat="1" x14ac:dyDescent="0.25">
      <c r="A100" s="10" t="s">
        <v>192</v>
      </c>
      <c r="B100" s="10">
        <f t="shared" ref="B100:AE100" si="38">B111-B89-B78-B67-B56-B45-B34-B23-B12</f>
        <v>1318</v>
      </c>
      <c r="C100" s="10">
        <f t="shared" si="38"/>
        <v>3199</v>
      </c>
      <c r="D100" s="10">
        <f t="shared" si="38"/>
        <v>0</v>
      </c>
      <c r="E100" s="10">
        <f t="shared" si="38"/>
        <v>0</v>
      </c>
      <c r="F100" s="10">
        <f t="shared" si="38"/>
        <v>0</v>
      </c>
      <c r="G100" s="10">
        <f t="shared" si="38"/>
        <v>0</v>
      </c>
      <c r="H100" s="10">
        <f t="shared" si="38"/>
        <v>10439</v>
      </c>
      <c r="I100" s="10">
        <f t="shared" si="38"/>
        <v>29771</v>
      </c>
      <c r="J100" s="10">
        <f t="shared" si="38"/>
        <v>1553</v>
      </c>
      <c r="K100" s="10">
        <f t="shared" si="38"/>
        <v>2813</v>
      </c>
      <c r="L100" s="10">
        <f t="shared" si="38"/>
        <v>1416</v>
      </c>
      <c r="M100" s="10">
        <f t="shared" si="38"/>
        <v>3631</v>
      </c>
      <c r="N100" s="10">
        <f t="shared" si="38"/>
        <v>22288.61</v>
      </c>
      <c r="O100" s="10">
        <f t="shared" si="38"/>
        <v>57975.92</v>
      </c>
      <c r="P100" s="10">
        <f t="shared" si="38"/>
        <v>-6049.36</v>
      </c>
      <c r="Q100" s="10">
        <f t="shared" si="38"/>
        <v>145.79</v>
      </c>
      <c r="R100" s="10">
        <f t="shared" si="38"/>
        <v>5610.369999999999</v>
      </c>
      <c r="S100" s="10">
        <f t="shared" ref="S100" si="39">S111-S89-S78-S67-S56-S45-S34-S23-S12</f>
        <v>12988.429999999969</v>
      </c>
      <c r="T100" s="10">
        <f t="shared" si="38"/>
        <v>6963</v>
      </c>
      <c r="U100" s="10">
        <f t="shared" si="38"/>
        <v>13522</v>
      </c>
      <c r="V100" s="10">
        <f t="shared" si="38"/>
        <v>5196</v>
      </c>
      <c r="W100" s="10">
        <f t="shared" si="38"/>
        <v>16108</v>
      </c>
      <c r="X100" s="10">
        <f t="shared" si="38"/>
        <v>14835</v>
      </c>
      <c r="Y100" s="10">
        <f t="shared" si="38"/>
        <v>39720</v>
      </c>
      <c r="Z100" s="10">
        <f t="shared" si="38"/>
        <v>8607</v>
      </c>
      <c r="AA100" s="10">
        <f t="shared" si="38"/>
        <v>21068</v>
      </c>
      <c r="AB100" s="10">
        <f t="shared" si="38"/>
        <v>130</v>
      </c>
      <c r="AC100" s="10">
        <f t="shared" si="38"/>
        <v>423</v>
      </c>
      <c r="AD100" s="10">
        <f t="shared" si="38"/>
        <v>1321</v>
      </c>
      <c r="AE100" s="10">
        <f t="shared" si="38"/>
        <v>3475</v>
      </c>
      <c r="AF100" s="10">
        <f t="shared" ref="AF100" si="40">AF111-AF89-AF78-AF67-AF56-AF45-AF34-AF23-AF12</f>
        <v>-240.45000000000366</v>
      </c>
      <c r="AG100" s="10">
        <f t="shared" ref="AG100:BK100" si="41">AG111-AG89-AG78-AG67-AG56-AG45-AG34-AG23-AG12</f>
        <v>273.67999999999643</v>
      </c>
      <c r="AH100" s="10">
        <f t="shared" si="41"/>
        <v>30.460000000002765</v>
      </c>
      <c r="AI100" s="10">
        <f t="shared" si="41"/>
        <v>187.13999999999942</v>
      </c>
      <c r="AJ100" s="10">
        <f t="shared" si="41"/>
        <v>0</v>
      </c>
      <c r="AK100" s="10">
        <f t="shared" si="41"/>
        <v>0</v>
      </c>
      <c r="AL100" s="10">
        <f t="shared" si="41"/>
        <v>6848.8800000000701</v>
      </c>
      <c r="AM100" s="10">
        <f t="shared" si="41"/>
        <v>26184.560000000085</v>
      </c>
      <c r="AN100" s="10">
        <f t="shared" si="41"/>
        <v>90</v>
      </c>
      <c r="AO100" s="10">
        <f t="shared" si="41"/>
        <v>373</v>
      </c>
      <c r="AP100" s="10">
        <f t="shared" si="41"/>
        <v>1471</v>
      </c>
      <c r="AQ100" s="10">
        <f t="shared" si="41"/>
        <v>4238</v>
      </c>
      <c r="AR100" s="10">
        <f t="shared" si="41"/>
        <v>3051</v>
      </c>
      <c r="AS100" s="10">
        <f t="shared" si="41"/>
        <v>10377</v>
      </c>
      <c r="AT100" s="10">
        <f t="shared" si="41"/>
        <v>351</v>
      </c>
      <c r="AU100" s="10">
        <f t="shared" si="41"/>
        <v>1011</v>
      </c>
      <c r="AV100" s="10">
        <f t="shared" si="41"/>
        <v>4413</v>
      </c>
      <c r="AW100" s="10">
        <f t="shared" si="41"/>
        <v>20635</v>
      </c>
      <c r="AX100" s="10">
        <f t="shared" si="41"/>
        <v>311</v>
      </c>
      <c r="AY100" s="10">
        <f t="shared" si="41"/>
        <v>937</v>
      </c>
      <c r="AZ100" s="10">
        <f t="shared" si="41"/>
        <v>1</v>
      </c>
      <c r="BA100" s="10">
        <f t="shared" si="41"/>
        <v>2</v>
      </c>
      <c r="BB100" s="10">
        <f t="shared" si="41"/>
        <v>7597</v>
      </c>
      <c r="BC100" s="10">
        <f t="shared" si="41"/>
        <v>21289</v>
      </c>
      <c r="BD100" s="10">
        <f t="shared" si="41"/>
        <v>-483151</v>
      </c>
      <c r="BE100" s="10">
        <f t="shared" si="41"/>
        <v>149168</v>
      </c>
      <c r="BF100" s="10">
        <f t="shared" si="41"/>
        <v>12024</v>
      </c>
      <c r="BG100" s="10">
        <f t="shared" si="41"/>
        <v>36402</v>
      </c>
      <c r="BH100" s="10">
        <f t="shared" si="41"/>
        <v>3907</v>
      </c>
      <c r="BI100" s="10">
        <f t="shared" si="41"/>
        <v>30706</v>
      </c>
      <c r="BJ100" s="10">
        <f t="shared" si="41"/>
        <v>831</v>
      </c>
      <c r="BK100" s="10">
        <f t="shared" si="41"/>
        <v>2539</v>
      </c>
      <c r="BL100" s="63">
        <f t="shared" si="20"/>
        <v>-368837.48999999993</v>
      </c>
      <c r="BM100" s="63">
        <f t="shared" si="21"/>
        <v>509162.52</v>
      </c>
    </row>
    <row r="102" spans="1:65" x14ac:dyDescent="0.25">
      <c r="A102" s="23" t="s">
        <v>40</v>
      </c>
    </row>
    <row r="103" spans="1:65" x14ac:dyDescent="0.25">
      <c r="A103" s="1" t="s">
        <v>0</v>
      </c>
      <c r="B103" s="153" t="s">
        <v>1</v>
      </c>
      <c r="C103" s="154"/>
      <c r="D103" s="153" t="s">
        <v>234</v>
      </c>
      <c r="E103" s="154"/>
      <c r="F103" s="153" t="s">
        <v>2</v>
      </c>
      <c r="G103" s="154"/>
      <c r="H103" s="153" t="s">
        <v>3</v>
      </c>
      <c r="I103" s="154"/>
      <c r="J103" s="153" t="s">
        <v>243</v>
      </c>
      <c r="K103" s="154"/>
      <c r="L103" s="153" t="s">
        <v>235</v>
      </c>
      <c r="M103" s="154"/>
      <c r="N103" s="153" t="s">
        <v>5</v>
      </c>
      <c r="O103" s="154"/>
      <c r="P103" s="153" t="s">
        <v>4</v>
      </c>
      <c r="Q103" s="154"/>
      <c r="R103" s="153" t="s">
        <v>6</v>
      </c>
      <c r="S103" s="154"/>
      <c r="T103" s="153" t="s">
        <v>246</v>
      </c>
      <c r="U103" s="154"/>
      <c r="V103" s="153" t="s">
        <v>7</v>
      </c>
      <c r="W103" s="154"/>
      <c r="X103" s="153" t="s">
        <v>8</v>
      </c>
      <c r="Y103" s="154"/>
      <c r="Z103" s="153" t="s">
        <v>9</v>
      </c>
      <c r="AA103" s="154"/>
      <c r="AB103" s="153" t="s">
        <v>242</v>
      </c>
      <c r="AC103" s="154"/>
      <c r="AD103" s="153" t="s">
        <v>10</v>
      </c>
      <c r="AE103" s="154"/>
      <c r="AF103" s="153" t="s">
        <v>11</v>
      </c>
      <c r="AG103" s="154"/>
      <c r="AH103" s="153" t="s">
        <v>236</v>
      </c>
      <c r="AI103" s="154"/>
      <c r="AJ103" s="153" t="s">
        <v>245</v>
      </c>
      <c r="AK103" s="154"/>
      <c r="AL103" s="153" t="s">
        <v>12</v>
      </c>
      <c r="AM103" s="154"/>
      <c r="AN103" s="153" t="s">
        <v>237</v>
      </c>
      <c r="AO103" s="154"/>
      <c r="AP103" s="153" t="s">
        <v>238</v>
      </c>
      <c r="AQ103" s="154"/>
      <c r="AR103" s="153" t="s">
        <v>241</v>
      </c>
      <c r="AS103" s="154"/>
      <c r="AT103" s="153" t="s">
        <v>13</v>
      </c>
      <c r="AU103" s="154"/>
      <c r="AV103" s="153" t="s">
        <v>14</v>
      </c>
      <c r="AW103" s="154"/>
      <c r="AX103" s="153" t="s">
        <v>15</v>
      </c>
      <c r="AY103" s="154"/>
      <c r="AZ103" s="153" t="s">
        <v>16</v>
      </c>
      <c r="BA103" s="154"/>
      <c r="BB103" s="153" t="s">
        <v>17</v>
      </c>
      <c r="BC103" s="154"/>
      <c r="BD103" s="153" t="s">
        <v>239</v>
      </c>
      <c r="BE103" s="154"/>
      <c r="BF103" s="153" t="s">
        <v>240</v>
      </c>
      <c r="BG103" s="154"/>
      <c r="BH103" s="153" t="s">
        <v>18</v>
      </c>
      <c r="BI103" s="154"/>
      <c r="BJ103" s="153" t="s">
        <v>19</v>
      </c>
      <c r="BK103" s="154"/>
      <c r="BL103" s="155" t="s">
        <v>20</v>
      </c>
      <c r="BM103" s="156"/>
    </row>
    <row r="104" spans="1:65" ht="30" x14ac:dyDescent="0.25">
      <c r="A104" s="1"/>
      <c r="B104" s="53" t="s">
        <v>303</v>
      </c>
      <c r="C104" s="54" t="s">
        <v>302</v>
      </c>
      <c r="D104" s="53" t="s">
        <v>303</v>
      </c>
      <c r="E104" s="54" t="s">
        <v>302</v>
      </c>
      <c r="F104" s="53" t="s">
        <v>303</v>
      </c>
      <c r="G104" s="54" t="s">
        <v>302</v>
      </c>
      <c r="H104" s="53" t="s">
        <v>303</v>
      </c>
      <c r="I104" s="54" t="s">
        <v>302</v>
      </c>
      <c r="J104" s="53" t="s">
        <v>303</v>
      </c>
      <c r="K104" s="54" t="s">
        <v>302</v>
      </c>
      <c r="L104" s="53" t="s">
        <v>303</v>
      </c>
      <c r="M104" s="54" t="s">
        <v>302</v>
      </c>
      <c r="N104" s="53" t="s">
        <v>303</v>
      </c>
      <c r="O104" s="54" t="s">
        <v>302</v>
      </c>
      <c r="P104" s="53" t="s">
        <v>303</v>
      </c>
      <c r="Q104" s="54" t="s">
        <v>302</v>
      </c>
      <c r="R104" s="53" t="s">
        <v>303</v>
      </c>
      <c r="S104" s="54" t="s">
        <v>302</v>
      </c>
      <c r="T104" s="53" t="s">
        <v>303</v>
      </c>
      <c r="U104" s="54" t="s">
        <v>302</v>
      </c>
      <c r="V104" s="53" t="s">
        <v>303</v>
      </c>
      <c r="W104" s="54" t="s">
        <v>302</v>
      </c>
      <c r="X104" s="53" t="s">
        <v>303</v>
      </c>
      <c r="Y104" s="54" t="s">
        <v>302</v>
      </c>
      <c r="Z104" s="53" t="s">
        <v>303</v>
      </c>
      <c r="AA104" s="54" t="s">
        <v>302</v>
      </c>
      <c r="AB104" s="53" t="s">
        <v>303</v>
      </c>
      <c r="AC104" s="54" t="s">
        <v>302</v>
      </c>
      <c r="AD104" s="53" t="s">
        <v>303</v>
      </c>
      <c r="AE104" s="54" t="s">
        <v>302</v>
      </c>
      <c r="AF104" s="53" t="s">
        <v>303</v>
      </c>
      <c r="AG104" s="54" t="s">
        <v>302</v>
      </c>
      <c r="AH104" s="53" t="s">
        <v>303</v>
      </c>
      <c r="AI104" s="54" t="s">
        <v>302</v>
      </c>
      <c r="AJ104" s="53" t="s">
        <v>303</v>
      </c>
      <c r="AK104" s="54" t="s">
        <v>302</v>
      </c>
      <c r="AL104" s="53" t="s">
        <v>303</v>
      </c>
      <c r="AM104" s="54" t="s">
        <v>302</v>
      </c>
      <c r="AN104" s="53" t="s">
        <v>303</v>
      </c>
      <c r="AO104" s="54" t="s">
        <v>302</v>
      </c>
      <c r="AP104" s="53" t="s">
        <v>303</v>
      </c>
      <c r="AQ104" s="54" t="s">
        <v>302</v>
      </c>
      <c r="AR104" s="53" t="s">
        <v>303</v>
      </c>
      <c r="AS104" s="54" t="s">
        <v>302</v>
      </c>
      <c r="AT104" s="53" t="s">
        <v>303</v>
      </c>
      <c r="AU104" s="54" t="s">
        <v>302</v>
      </c>
      <c r="AV104" s="53" t="s">
        <v>303</v>
      </c>
      <c r="AW104" s="54" t="s">
        <v>302</v>
      </c>
      <c r="AX104" s="53" t="s">
        <v>303</v>
      </c>
      <c r="AY104" s="54" t="s">
        <v>302</v>
      </c>
      <c r="AZ104" s="53" t="s">
        <v>303</v>
      </c>
      <c r="BA104" s="54" t="s">
        <v>302</v>
      </c>
      <c r="BB104" s="53" t="s">
        <v>303</v>
      </c>
      <c r="BC104" s="54" t="s">
        <v>302</v>
      </c>
      <c r="BD104" s="53" t="s">
        <v>303</v>
      </c>
      <c r="BE104" s="54" t="s">
        <v>302</v>
      </c>
      <c r="BF104" s="53" t="s">
        <v>303</v>
      </c>
      <c r="BG104" s="54" t="s">
        <v>302</v>
      </c>
      <c r="BH104" s="53" t="s">
        <v>303</v>
      </c>
      <c r="BI104" s="54" t="s">
        <v>302</v>
      </c>
      <c r="BJ104" s="53" t="s">
        <v>303</v>
      </c>
      <c r="BK104" s="54" t="s">
        <v>302</v>
      </c>
      <c r="BL104" s="105" t="s">
        <v>303</v>
      </c>
      <c r="BM104" s="106" t="s">
        <v>302</v>
      </c>
    </row>
    <row r="105" spans="1:65" x14ac:dyDescent="0.25">
      <c r="A105" s="92" t="s">
        <v>279</v>
      </c>
      <c r="B105" s="92">
        <v>28376</v>
      </c>
      <c r="C105" s="92">
        <v>69842</v>
      </c>
      <c r="D105" s="92">
        <v>40620</v>
      </c>
      <c r="E105" s="92">
        <v>116986</v>
      </c>
      <c r="F105" s="92">
        <v>191087</v>
      </c>
      <c r="G105" s="92">
        <v>987212</v>
      </c>
      <c r="H105" s="92">
        <v>293657</v>
      </c>
      <c r="I105" s="92">
        <v>1041969</v>
      </c>
      <c r="J105" s="92">
        <v>97143</v>
      </c>
      <c r="K105" s="92">
        <v>264941</v>
      </c>
      <c r="L105" s="92">
        <v>131989</v>
      </c>
      <c r="M105" s="92">
        <v>344204</v>
      </c>
      <c r="N105" s="92">
        <v>27772.080000000002</v>
      </c>
      <c r="O105" s="92">
        <v>73877.789999999994</v>
      </c>
      <c r="P105" s="91">
        <v>374.57</v>
      </c>
      <c r="Q105" s="91">
        <v>26682.720000000001</v>
      </c>
      <c r="R105" s="92">
        <v>108839.58</v>
      </c>
      <c r="S105" s="92">
        <v>290601.2</v>
      </c>
      <c r="T105" s="92">
        <v>139006</v>
      </c>
      <c r="U105" s="92">
        <v>317018</v>
      </c>
      <c r="V105" s="92">
        <v>302193</v>
      </c>
      <c r="W105" s="92">
        <v>954712</v>
      </c>
      <c r="X105" s="92">
        <v>469861</v>
      </c>
      <c r="Y105" s="92">
        <v>1331122</v>
      </c>
      <c r="Z105" s="92">
        <v>194929</v>
      </c>
      <c r="AA105" s="92">
        <v>631449</v>
      </c>
      <c r="AB105" s="92">
        <v>22288</v>
      </c>
      <c r="AC105" s="92">
        <v>50055</v>
      </c>
      <c r="AD105" s="92">
        <v>38180</v>
      </c>
      <c r="AE105" s="92">
        <v>107137</v>
      </c>
      <c r="AF105" s="92">
        <v>46917.95</v>
      </c>
      <c r="AG105" s="92">
        <v>115891.11</v>
      </c>
      <c r="AH105" s="92">
        <v>24846.560000000001</v>
      </c>
      <c r="AI105" s="92">
        <v>69007.61</v>
      </c>
      <c r="AJ105" s="92">
        <v>66863</v>
      </c>
      <c r="AK105" s="92">
        <v>191760</v>
      </c>
      <c r="AL105" s="92">
        <v>318250.64</v>
      </c>
      <c r="AM105" s="92">
        <v>1007117.23</v>
      </c>
      <c r="AN105" s="92">
        <v>2930</v>
      </c>
      <c r="AO105" s="92">
        <v>6591</v>
      </c>
      <c r="AP105" s="92">
        <v>8563</v>
      </c>
      <c r="AQ105" s="92">
        <v>27158</v>
      </c>
      <c r="AR105" s="76">
        <v>213081</v>
      </c>
      <c r="AS105" s="76">
        <v>720333</v>
      </c>
      <c r="AT105" s="92">
        <v>71238</v>
      </c>
      <c r="AU105" s="92">
        <v>206518</v>
      </c>
      <c r="AV105" s="92">
        <v>184296</v>
      </c>
      <c r="AW105" s="92">
        <v>597191</v>
      </c>
      <c r="AX105" s="92">
        <v>48823</v>
      </c>
      <c r="AY105" s="92">
        <v>126886</v>
      </c>
      <c r="AZ105" s="92">
        <v>270454</v>
      </c>
      <c r="BA105" s="92">
        <v>777432</v>
      </c>
      <c r="BB105" s="92">
        <v>258558</v>
      </c>
      <c r="BC105" s="92">
        <v>695213</v>
      </c>
      <c r="BD105" s="92">
        <v>12292</v>
      </c>
      <c r="BE105" s="92">
        <v>2700425</v>
      </c>
      <c r="BF105" s="92">
        <v>331255</v>
      </c>
      <c r="BG105" s="92">
        <v>1060495</v>
      </c>
      <c r="BH105" s="92">
        <v>348637</v>
      </c>
      <c r="BI105" s="92">
        <v>1100383</v>
      </c>
      <c r="BJ105" s="92">
        <v>94704</v>
      </c>
      <c r="BK105" s="92">
        <v>251706</v>
      </c>
      <c r="BL105" s="68">
        <f t="shared" ref="BL105:BL111" si="42">SUM(B105+D105+F105+H105+J105+L105+N105+P105+R105+T105+V105+X105+Z105+AB105+AD105+AF105+AH105+AJ105+AL105+AN105+AP105+AR105+AT105+AV105+AX105+AZ105+BB105+BD105+BF105+BH105+BJ105)</f>
        <v>4388024.3800000008</v>
      </c>
      <c r="BM105" s="68">
        <f t="shared" ref="BM105:BM111" si="43">SUM(C105+E105+G105+I105+K105+M105+O105+Q105+S105+U105+W105+Y105+AA105+AC105+AE105+AG105+AI105+AK105+AM105+AO105+AQ105+AS105+AU105+AW105+AY105+BA105+BC105+BE105+BG105+BI105+BK105)</f>
        <v>16261915.660000002</v>
      </c>
    </row>
    <row r="106" spans="1:65" x14ac:dyDescent="0.25">
      <c r="A106" s="92" t="s">
        <v>280</v>
      </c>
      <c r="B106" s="92"/>
      <c r="C106" s="92"/>
      <c r="D106" s="92"/>
      <c r="E106" s="92"/>
      <c r="F106" s="92">
        <v>0</v>
      </c>
      <c r="G106" s="92">
        <v>0</v>
      </c>
      <c r="H106" s="92">
        <v>2288</v>
      </c>
      <c r="I106" s="92">
        <v>6858</v>
      </c>
      <c r="J106" s="92">
        <v>2167</v>
      </c>
      <c r="K106" s="92">
        <v>3994</v>
      </c>
      <c r="L106" s="92">
        <v>792</v>
      </c>
      <c r="M106" s="92">
        <v>1924</v>
      </c>
      <c r="N106" s="92"/>
      <c r="O106" s="92"/>
      <c r="P106" s="91">
        <v>31.3</v>
      </c>
      <c r="Q106" s="91">
        <v>961.56</v>
      </c>
      <c r="R106" s="92">
        <v>1344.76</v>
      </c>
      <c r="S106" s="92">
        <v>6283.8</v>
      </c>
      <c r="T106" s="92">
        <v>6209</v>
      </c>
      <c r="U106" s="92">
        <v>47835</v>
      </c>
      <c r="V106" s="92">
        <v>3438</v>
      </c>
      <c r="W106" s="92">
        <v>17153</v>
      </c>
      <c r="X106" s="92">
        <v>8747</v>
      </c>
      <c r="Y106" s="92">
        <v>25043</v>
      </c>
      <c r="Z106" s="92">
        <v>3221</v>
      </c>
      <c r="AA106" s="92">
        <v>12225</v>
      </c>
      <c r="AB106" s="92">
        <v>310</v>
      </c>
      <c r="AC106" s="92">
        <v>858</v>
      </c>
      <c r="AD106" s="92">
        <v>570</v>
      </c>
      <c r="AE106" s="92">
        <v>1167</v>
      </c>
      <c r="AF106" s="92">
        <v>1920.12</v>
      </c>
      <c r="AG106" s="92">
        <v>5231.1400000000003</v>
      </c>
      <c r="AH106" s="92"/>
      <c r="AI106" s="92"/>
      <c r="AJ106" s="92"/>
      <c r="AK106" s="92"/>
      <c r="AL106" s="92">
        <v>9534.4</v>
      </c>
      <c r="AM106" s="92">
        <v>32321.84</v>
      </c>
      <c r="AN106" s="92">
        <v>38</v>
      </c>
      <c r="AO106" s="92">
        <v>85</v>
      </c>
      <c r="AP106" s="92">
        <v>288</v>
      </c>
      <c r="AQ106" s="92">
        <v>1435</v>
      </c>
      <c r="AR106" s="76">
        <v>3997</v>
      </c>
      <c r="AS106" s="76">
        <v>9056</v>
      </c>
      <c r="AT106" s="92">
        <v>1486</v>
      </c>
      <c r="AU106" s="92">
        <v>8170</v>
      </c>
      <c r="AV106" s="92">
        <v>556</v>
      </c>
      <c r="AW106" s="92">
        <v>5297</v>
      </c>
      <c r="AX106" s="92">
        <v>395</v>
      </c>
      <c r="AY106" s="92">
        <v>855</v>
      </c>
      <c r="AZ106" s="92"/>
      <c r="BA106" s="92"/>
      <c r="BB106" s="92">
        <v>19480</v>
      </c>
      <c r="BC106" s="92">
        <v>33448</v>
      </c>
      <c r="BD106" s="92">
        <v>-1</v>
      </c>
      <c r="BE106" s="92">
        <v>89326</v>
      </c>
      <c r="BF106" s="92">
        <v>11653</v>
      </c>
      <c r="BG106" s="92">
        <v>40142</v>
      </c>
      <c r="BH106" s="92">
        <v>8362</v>
      </c>
      <c r="BI106" s="92">
        <v>21556</v>
      </c>
      <c r="BJ106" s="92">
        <v>189</v>
      </c>
      <c r="BK106" s="92">
        <v>424</v>
      </c>
      <c r="BL106" s="68">
        <f t="shared" si="42"/>
        <v>87015.58</v>
      </c>
      <c r="BM106" s="68">
        <f t="shared" si="43"/>
        <v>371649.33999999997</v>
      </c>
    </row>
    <row r="107" spans="1:65" x14ac:dyDescent="0.25">
      <c r="A107" s="92" t="s">
        <v>281</v>
      </c>
      <c r="B107" s="92">
        <v>12386</v>
      </c>
      <c r="C107" s="92">
        <v>28213</v>
      </c>
      <c r="D107" s="92">
        <v>8898</v>
      </c>
      <c r="E107" s="92">
        <v>26343</v>
      </c>
      <c r="F107" s="92">
        <v>88108</v>
      </c>
      <c r="G107" s="92">
        <v>504003</v>
      </c>
      <c r="H107" s="92">
        <v>-97132</v>
      </c>
      <c r="I107" s="92">
        <v>-479816</v>
      </c>
      <c r="J107" s="92">
        <v>17575</v>
      </c>
      <c r="K107" s="92">
        <v>52139</v>
      </c>
      <c r="L107" s="92">
        <v>37622</v>
      </c>
      <c r="M107" s="92">
        <v>94039</v>
      </c>
      <c r="N107" s="92">
        <v>5158.55</v>
      </c>
      <c r="O107" s="92">
        <v>14951.88</v>
      </c>
      <c r="P107" s="91">
        <v>360.47</v>
      </c>
      <c r="Q107" s="91">
        <v>7420.45</v>
      </c>
      <c r="R107" s="92">
        <v>45265.31</v>
      </c>
      <c r="S107" s="92">
        <v>114694.68</v>
      </c>
      <c r="T107" s="92">
        <v>27881</v>
      </c>
      <c r="U107" s="92">
        <v>77666</v>
      </c>
      <c r="V107" s="92">
        <v>-136238</v>
      </c>
      <c r="W107" s="92">
        <v>-479079</v>
      </c>
      <c r="X107" s="92">
        <v>113096</v>
      </c>
      <c r="Y107" s="92">
        <v>404543</v>
      </c>
      <c r="Z107" s="92">
        <v>51871</v>
      </c>
      <c r="AA107" s="92">
        <v>208136</v>
      </c>
      <c r="AB107" s="92">
        <v>5206</v>
      </c>
      <c r="AC107" s="92">
        <v>11588</v>
      </c>
      <c r="AD107" s="92">
        <v>4008</v>
      </c>
      <c r="AE107" s="92">
        <v>17811</v>
      </c>
      <c r="AF107" s="92">
        <v>-16735.919999999998</v>
      </c>
      <c r="AG107" s="92">
        <v>-44061.97</v>
      </c>
      <c r="AH107" s="92">
        <v>1300.22</v>
      </c>
      <c r="AI107" s="92">
        <v>3615.38</v>
      </c>
      <c r="AJ107" s="92">
        <v>15065</v>
      </c>
      <c r="AK107" s="92">
        <v>44285</v>
      </c>
      <c r="AL107" s="92">
        <v>39954.03</v>
      </c>
      <c r="AM107" s="92">
        <v>114401.66</v>
      </c>
      <c r="AN107" s="92">
        <v>-332</v>
      </c>
      <c r="AO107" s="92">
        <v>-884</v>
      </c>
      <c r="AP107" s="92">
        <v>1385</v>
      </c>
      <c r="AQ107" s="92">
        <v>5111</v>
      </c>
      <c r="AR107" s="76">
        <v>93933</v>
      </c>
      <c r="AS107" s="76">
        <v>3204011</v>
      </c>
      <c r="AT107" s="92">
        <v>16590</v>
      </c>
      <c r="AU107" s="92">
        <v>59533</v>
      </c>
      <c r="AV107" s="92">
        <v>103745</v>
      </c>
      <c r="AW107" s="92">
        <v>327486</v>
      </c>
      <c r="AX107" s="92">
        <v>4339</v>
      </c>
      <c r="AY107" s="92">
        <v>11036</v>
      </c>
      <c r="AZ107" s="92">
        <v>14772</v>
      </c>
      <c r="BA107" s="92">
        <v>43860</v>
      </c>
      <c r="BB107" s="92">
        <v>75631</v>
      </c>
      <c r="BC107" s="92">
        <v>224383</v>
      </c>
      <c r="BD107" s="92">
        <v>783</v>
      </c>
      <c r="BE107" s="92">
        <v>596863</v>
      </c>
      <c r="BF107" s="92">
        <v>56065</v>
      </c>
      <c r="BG107" s="92">
        <v>182129</v>
      </c>
      <c r="BH107" s="92">
        <v>44672</v>
      </c>
      <c r="BI107" s="92">
        <v>183790</v>
      </c>
      <c r="BJ107" s="92">
        <v>43493</v>
      </c>
      <c r="BK107" s="92">
        <v>139626</v>
      </c>
      <c r="BL107" s="68">
        <f t="shared" si="42"/>
        <v>678724.66</v>
      </c>
      <c r="BM107" s="68">
        <f t="shared" si="43"/>
        <v>5697837.0800000001</v>
      </c>
    </row>
    <row r="108" spans="1:65" s="7" customFormat="1" x14ac:dyDescent="0.25">
      <c r="A108" s="10" t="s">
        <v>282</v>
      </c>
      <c r="B108" s="10">
        <v>15990</v>
      </c>
      <c r="C108" s="10">
        <v>41629</v>
      </c>
      <c r="D108" s="10">
        <v>31722</v>
      </c>
      <c r="E108" s="10">
        <v>90643</v>
      </c>
      <c r="F108" s="10">
        <v>102979</v>
      </c>
      <c r="G108" s="10">
        <v>483209</v>
      </c>
      <c r="H108" s="10">
        <v>198812</v>
      </c>
      <c r="I108" s="10">
        <v>569011</v>
      </c>
      <c r="J108" s="10">
        <v>81735</v>
      </c>
      <c r="K108" s="10">
        <v>216796</v>
      </c>
      <c r="L108" s="10">
        <v>95159</v>
      </c>
      <c r="M108" s="10">
        <v>252089</v>
      </c>
      <c r="N108" s="10">
        <v>22613.53</v>
      </c>
      <c r="O108" s="10">
        <v>58925.91</v>
      </c>
      <c r="P108" s="131">
        <v>45.4</v>
      </c>
      <c r="Q108" s="131">
        <v>20223.830000000002</v>
      </c>
      <c r="R108" s="10">
        <v>64919.02</v>
      </c>
      <c r="S108" s="10">
        <v>182190.32</v>
      </c>
      <c r="T108" s="10">
        <v>117334</v>
      </c>
      <c r="U108" s="10">
        <v>287187</v>
      </c>
      <c r="V108" s="10">
        <v>169393</v>
      </c>
      <c r="W108" s="10">
        <v>492786</v>
      </c>
      <c r="X108" s="10">
        <v>365512</v>
      </c>
      <c r="Y108" s="10">
        <v>951622</v>
      </c>
      <c r="Z108" s="10">
        <v>146278</v>
      </c>
      <c r="AA108" s="10">
        <v>435538</v>
      </c>
      <c r="AB108" s="10">
        <v>17393</v>
      </c>
      <c r="AC108" s="10">
        <v>39324</v>
      </c>
      <c r="AD108" s="10">
        <v>34743</v>
      </c>
      <c r="AE108" s="10">
        <v>90494</v>
      </c>
      <c r="AF108" s="10">
        <v>32102.15</v>
      </c>
      <c r="AG108" s="10">
        <v>77060.28</v>
      </c>
      <c r="AH108" s="10">
        <v>23546.34</v>
      </c>
      <c r="AI108" s="10">
        <v>65392.23</v>
      </c>
      <c r="AJ108" s="10">
        <v>51798</v>
      </c>
      <c r="AK108" s="10">
        <v>147474</v>
      </c>
      <c r="AL108" s="10">
        <v>287831.01</v>
      </c>
      <c r="AM108" s="10">
        <v>925037.4</v>
      </c>
      <c r="AN108" s="10">
        <v>2637</v>
      </c>
      <c r="AO108" s="10">
        <v>5792</v>
      </c>
      <c r="AP108" s="10">
        <v>7466</v>
      </c>
      <c r="AQ108" s="10">
        <v>23482</v>
      </c>
      <c r="AR108" s="10">
        <v>123145</v>
      </c>
      <c r="AS108" s="10">
        <v>408978</v>
      </c>
      <c r="AT108" s="10">
        <v>56134</v>
      </c>
      <c r="AU108" s="10">
        <v>155154</v>
      </c>
      <c r="AV108" s="10">
        <v>81107</v>
      </c>
      <c r="AW108" s="10">
        <v>275002</v>
      </c>
      <c r="AX108" s="10">
        <v>44879</v>
      </c>
      <c r="AY108" s="10">
        <v>116706</v>
      </c>
      <c r="AZ108" s="10">
        <v>255682</v>
      </c>
      <c r="BA108" s="10">
        <v>733572</v>
      </c>
      <c r="BB108" s="10">
        <v>202407</v>
      </c>
      <c r="BC108" s="10">
        <v>504278</v>
      </c>
      <c r="BD108" s="10">
        <v>11508</v>
      </c>
      <c r="BE108" s="10">
        <v>2192888</v>
      </c>
      <c r="BF108" s="10">
        <v>286843</v>
      </c>
      <c r="BG108" s="10">
        <v>918508</v>
      </c>
      <c r="BH108" s="10">
        <v>312327</v>
      </c>
      <c r="BI108" s="10">
        <v>938149</v>
      </c>
      <c r="BJ108" s="10">
        <v>51400</v>
      </c>
      <c r="BK108" s="10">
        <v>112504</v>
      </c>
      <c r="BL108" s="63">
        <f t="shared" si="42"/>
        <v>3295440.45</v>
      </c>
      <c r="BM108" s="63">
        <f t="shared" si="43"/>
        <v>11811644.970000003</v>
      </c>
    </row>
    <row r="109" spans="1:65" x14ac:dyDescent="0.25">
      <c r="A109" s="92" t="s">
        <v>283</v>
      </c>
      <c r="B109" s="92">
        <v>19840</v>
      </c>
      <c r="C109" s="92">
        <v>12027</v>
      </c>
      <c r="D109" s="92">
        <v>58144</v>
      </c>
      <c r="E109" s="92">
        <v>49660</v>
      </c>
      <c r="F109" s="92">
        <v>109676</v>
      </c>
      <c r="G109" s="92">
        <v>58878</v>
      </c>
      <c r="H109" s="92">
        <v>400671</v>
      </c>
      <c r="I109" s="92">
        <v>416598</v>
      </c>
      <c r="J109" s="92">
        <v>119591</v>
      </c>
      <c r="K109" s="92">
        <v>93928</v>
      </c>
      <c r="L109" s="92">
        <v>223857</v>
      </c>
      <c r="M109" s="92">
        <v>236096</v>
      </c>
      <c r="N109" s="92">
        <v>10981.84</v>
      </c>
      <c r="O109" s="92">
        <v>28512.959999999999</v>
      </c>
      <c r="P109" s="91">
        <v>37.18</v>
      </c>
      <c r="Q109" s="91">
        <v>10589.21</v>
      </c>
      <c r="R109" s="92">
        <v>129888.39</v>
      </c>
      <c r="S109" s="92">
        <v>124021.25</v>
      </c>
      <c r="T109" s="92">
        <v>174040</v>
      </c>
      <c r="U109" s="92">
        <v>153127</v>
      </c>
      <c r="V109" s="92">
        <v>418286</v>
      </c>
      <c r="W109" s="92">
        <v>432537</v>
      </c>
      <c r="X109" s="92">
        <v>700415</v>
      </c>
      <c r="Y109" s="92">
        <v>650915</v>
      </c>
      <c r="Z109" s="92">
        <v>0</v>
      </c>
      <c r="AA109" s="92">
        <v>253756</v>
      </c>
      <c r="AB109" s="92">
        <v>32839</v>
      </c>
      <c r="AC109" s="92">
        <v>33860</v>
      </c>
      <c r="AD109" s="92">
        <v>65354</v>
      </c>
      <c r="AE109" s="92">
        <v>71936</v>
      </c>
      <c r="AF109" s="92">
        <v>48897.66</v>
      </c>
      <c r="AG109" s="92">
        <v>46590.3</v>
      </c>
      <c r="AH109" s="92">
        <v>41164.629999999997</v>
      </c>
      <c r="AI109" s="92">
        <v>35854.15</v>
      </c>
      <c r="AJ109" s="92">
        <v>87765</v>
      </c>
      <c r="AK109" s="92">
        <v>67615</v>
      </c>
      <c r="AL109" s="92">
        <v>609711.46</v>
      </c>
      <c r="AM109" s="92">
        <v>596944.37</v>
      </c>
      <c r="AN109" s="92">
        <v>18912</v>
      </c>
      <c r="AO109" s="92">
        <v>19821</v>
      </c>
      <c r="AP109" s="92">
        <v>17345</v>
      </c>
      <c r="AQ109" s="92">
        <v>15260</v>
      </c>
      <c r="AR109" s="92">
        <v>233882</v>
      </c>
      <c r="AS109" s="92">
        <v>192017</v>
      </c>
      <c r="AT109" s="92">
        <v>114765</v>
      </c>
      <c r="AU109" s="92">
        <v>123841</v>
      </c>
      <c r="AV109" s="92">
        <v>281770</v>
      </c>
      <c r="AW109" s="92">
        <v>287465</v>
      </c>
      <c r="AX109" s="92">
        <v>88471</v>
      </c>
      <c r="AY109" s="92">
        <v>111238</v>
      </c>
      <c r="AZ109" s="92">
        <v>529175</v>
      </c>
      <c r="BA109" s="92">
        <v>517253</v>
      </c>
      <c r="BB109" s="92">
        <v>349769</v>
      </c>
      <c r="BC109" s="92">
        <v>357772</v>
      </c>
      <c r="BD109" s="92">
        <v>0</v>
      </c>
      <c r="BE109" s="92">
        <v>1246942</v>
      </c>
      <c r="BF109" s="92">
        <v>0</v>
      </c>
      <c r="BG109" s="92">
        <v>0</v>
      </c>
      <c r="BH109" s="92">
        <v>712822</v>
      </c>
      <c r="BI109" s="92">
        <v>711239</v>
      </c>
      <c r="BJ109" s="92">
        <v>79346</v>
      </c>
      <c r="BK109" s="92">
        <v>64702</v>
      </c>
      <c r="BL109" s="68">
        <f t="shared" si="42"/>
        <v>5677416.1600000001</v>
      </c>
      <c r="BM109" s="68">
        <f t="shared" si="43"/>
        <v>7020995.2400000002</v>
      </c>
    </row>
    <row r="110" spans="1:65" x14ac:dyDescent="0.25">
      <c r="A110" s="2" t="s">
        <v>284</v>
      </c>
      <c r="B110" s="92">
        <v>23255</v>
      </c>
      <c r="C110" s="92">
        <v>23255</v>
      </c>
      <c r="D110" s="92">
        <v>61411</v>
      </c>
      <c r="E110" s="92">
        <v>61411</v>
      </c>
      <c r="F110" s="92">
        <v>33904</v>
      </c>
      <c r="G110" s="92">
        <v>33904</v>
      </c>
      <c r="H110" s="92">
        <v>406514</v>
      </c>
      <c r="I110" s="92">
        <v>406514</v>
      </c>
      <c r="J110" s="92">
        <v>136554</v>
      </c>
      <c r="K110" s="92">
        <v>136554</v>
      </c>
      <c r="L110" s="92">
        <v>231538</v>
      </c>
      <c r="M110" s="92">
        <v>231538</v>
      </c>
      <c r="N110" s="92">
        <v>11306.76</v>
      </c>
      <c r="O110" s="92">
        <v>29462.95</v>
      </c>
      <c r="P110" s="91">
        <v>52.57</v>
      </c>
      <c r="Q110" s="91">
        <v>13768.96</v>
      </c>
      <c r="R110" s="92">
        <v>127014.77</v>
      </c>
      <c r="S110" s="92">
        <v>127014.77</v>
      </c>
      <c r="T110" s="92">
        <v>201078</v>
      </c>
      <c r="U110" s="92">
        <v>201078</v>
      </c>
      <c r="V110" s="92">
        <v>-410177</v>
      </c>
      <c r="W110" s="92">
        <v>-410177</v>
      </c>
      <c r="X110" s="92">
        <v>734739</v>
      </c>
      <c r="Y110" s="92">
        <v>734738</v>
      </c>
      <c r="Z110" s="92">
        <v>2807</v>
      </c>
      <c r="AA110" s="92">
        <v>276960</v>
      </c>
      <c r="AB110" s="92">
        <v>38093</v>
      </c>
      <c r="AC110" s="92">
        <v>38093</v>
      </c>
      <c r="AD110" s="92">
        <v>67997</v>
      </c>
      <c r="AE110" s="92">
        <v>67997</v>
      </c>
      <c r="AF110" s="92">
        <v>-57793.08</v>
      </c>
      <c r="AG110" s="92">
        <v>-57793.08</v>
      </c>
      <c r="AH110" s="92">
        <v>43496.49</v>
      </c>
      <c r="AI110" s="92">
        <v>43496.49</v>
      </c>
      <c r="AJ110" s="92">
        <v>96859</v>
      </c>
      <c r="AK110" s="92">
        <v>96859</v>
      </c>
      <c r="AL110" s="92">
        <v>610275.53</v>
      </c>
      <c r="AM110" s="92">
        <v>610275.53</v>
      </c>
      <c r="AN110" s="92">
        <v>-19303</v>
      </c>
      <c r="AO110" s="92">
        <v>-19303</v>
      </c>
      <c r="AP110" s="92">
        <v>17036</v>
      </c>
      <c r="AQ110" s="92">
        <v>17036</v>
      </c>
      <c r="AR110" s="92">
        <v>211418</v>
      </c>
      <c r="AS110" s="92">
        <v>211418</v>
      </c>
      <c r="AT110" s="92">
        <v>115360</v>
      </c>
      <c r="AU110" s="92">
        <v>115360</v>
      </c>
      <c r="AV110" s="92">
        <v>257196</v>
      </c>
      <c r="AW110" s="92">
        <v>257196</v>
      </c>
      <c r="AX110" s="92">
        <v>89664</v>
      </c>
      <c r="AY110" s="92">
        <v>89664</v>
      </c>
      <c r="AZ110" s="92">
        <v>532026</v>
      </c>
      <c r="BA110" s="92">
        <v>532026</v>
      </c>
      <c r="BB110" s="92">
        <v>385419</v>
      </c>
      <c r="BC110" s="92">
        <v>385419</v>
      </c>
      <c r="BD110" s="92">
        <v>1038</v>
      </c>
      <c r="BE110" s="92">
        <v>1275281</v>
      </c>
      <c r="BF110" s="92">
        <v>-108</v>
      </c>
      <c r="BG110" s="92">
        <v>53869</v>
      </c>
      <c r="BH110" s="92">
        <v>687328</v>
      </c>
      <c r="BI110" s="92">
        <v>687328</v>
      </c>
      <c r="BJ110" s="92">
        <v>-83043</v>
      </c>
      <c r="BK110" s="92">
        <v>-83043</v>
      </c>
      <c r="BL110" s="68">
        <f t="shared" si="42"/>
        <v>4552956.04</v>
      </c>
      <c r="BM110" s="68">
        <f t="shared" si="43"/>
        <v>6187200.6200000001</v>
      </c>
    </row>
    <row r="111" spans="1:65" s="7" customFormat="1" x14ac:dyDescent="0.25">
      <c r="A111" s="10" t="s">
        <v>192</v>
      </c>
      <c r="B111" s="10">
        <v>12575</v>
      </c>
      <c r="C111" s="10">
        <v>30401</v>
      </c>
      <c r="D111" s="10">
        <v>28455</v>
      </c>
      <c r="E111" s="10">
        <v>78892</v>
      </c>
      <c r="F111" s="10">
        <v>178751</v>
      </c>
      <c r="G111" s="10">
        <v>508183</v>
      </c>
      <c r="H111" s="10">
        <v>192970</v>
      </c>
      <c r="I111" s="10">
        <v>579095</v>
      </c>
      <c r="J111" s="10">
        <v>64772</v>
      </c>
      <c r="K111" s="10">
        <v>174170</v>
      </c>
      <c r="L111" s="10">
        <v>87478</v>
      </c>
      <c r="M111" s="10">
        <v>256647</v>
      </c>
      <c r="N111" s="10">
        <v>22288.61</v>
      </c>
      <c r="O111" s="10">
        <v>57975.92</v>
      </c>
      <c r="P111" s="131">
        <v>30.01</v>
      </c>
      <c r="Q111" s="131">
        <v>17044.080000000002</v>
      </c>
      <c r="R111" s="10">
        <v>67792.639999999999</v>
      </c>
      <c r="S111" s="10">
        <v>179196.79999999999</v>
      </c>
      <c r="T111" s="10">
        <v>90296</v>
      </c>
      <c r="U111" s="10">
        <v>239236</v>
      </c>
      <c r="V111" s="10">
        <v>177501</v>
      </c>
      <c r="W111" s="10">
        <v>515145</v>
      </c>
      <c r="X111" s="10">
        <v>331188</v>
      </c>
      <c r="Y111" s="10">
        <v>971431</v>
      </c>
      <c r="Z111" s="10">
        <v>143471</v>
      </c>
      <c r="AA111" s="10">
        <v>412334</v>
      </c>
      <c r="AB111" s="10">
        <v>12139</v>
      </c>
      <c r="AC111" s="10">
        <v>35091</v>
      </c>
      <c r="AD111" s="10">
        <v>32099</v>
      </c>
      <c r="AE111" s="10">
        <v>94432</v>
      </c>
      <c r="AF111" s="10">
        <v>23206.73</v>
      </c>
      <c r="AG111" s="10">
        <v>65857.5</v>
      </c>
      <c r="AH111" s="10">
        <v>21214.48</v>
      </c>
      <c r="AI111" s="10">
        <v>57749.88</v>
      </c>
      <c r="AJ111" s="10">
        <v>42704</v>
      </c>
      <c r="AK111" s="10">
        <v>118231</v>
      </c>
      <c r="AL111" s="10">
        <v>287266.95</v>
      </c>
      <c r="AM111" s="10">
        <v>911706.25</v>
      </c>
      <c r="AN111" s="10">
        <v>2246</v>
      </c>
      <c r="AO111" s="10">
        <v>6310</v>
      </c>
      <c r="AP111" s="10">
        <v>7775</v>
      </c>
      <c r="AQ111" s="10">
        <v>21707</v>
      </c>
      <c r="AR111" s="10">
        <v>145609</v>
      </c>
      <c r="AS111" s="10">
        <v>389577</v>
      </c>
      <c r="AT111" s="10">
        <v>55539</v>
      </c>
      <c r="AU111" s="10">
        <v>163636</v>
      </c>
      <c r="AV111" s="10">
        <v>105680</v>
      </c>
      <c r="AW111" s="10">
        <v>305271</v>
      </c>
      <c r="AX111" s="10">
        <v>43686</v>
      </c>
      <c r="AY111" s="10">
        <v>138279</v>
      </c>
      <c r="AZ111" s="10">
        <v>252831</v>
      </c>
      <c r="BA111" s="10">
        <v>718799</v>
      </c>
      <c r="BB111" s="10">
        <v>166757</v>
      </c>
      <c r="BC111" s="10">
        <v>476631</v>
      </c>
      <c r="BD111" s="10">
        <v>10471</v>
      </c>
      <c r="BE111" s="10">
        <v>2164550</v>
      </c>
      <c r="BF111" s="10">
        <v>286951</v>
      </c>
      <c r="BG111" s="10">
        <v>864639</v>
      </c>
      <c r="BH111" s="10">
        <v>337821</v>
      </c>
      <c r="BI111" s="10">
        <v>962061</v>
      </c>
      <c r="BJ111" s="10">
        <v>47704</v>
      </c>
      <c r="BK111" s="10">
        <v>94163</v>
      </c>
      <c r="BL111" s="63">
        <f t="shared" si="42"/>
        <v>3279268.42</v>
      </c>
      <c r="BM111" s="63">
        <f t="shared" si="43"/>
        <v>11608441.43</v>
      </c>
    </row>
  </sheetData>
  <mergeCells count="320"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1" customWidth="1"/>
    <col min="2" max="65" width="16" style="71" customWidth="1"/>
    <col min="66" max="16384" width="9.140625" style="71"/>
  </cols>
  <sheetData>
    <row r="1" spans="1:65" ht="18.75" x14ac:dyDescent="0.3">
      <c r="A1" s="4" t="s">
        <v>191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3" t="s">
        <v>0</v>
      </c>
      <c r="B4" s="153" t="s">
        <v>1</v>
      </c>
      <c r="C4" s="154"/>
      <c r="D4" s="153" t="s">
        <v>234</v>
      </c>
      <c r="E4" s="154"/>
      <c r="F4" s="153" t="s">
        <v>2</v>
      </c>
      <c r="G4" s="154"/>
      <c r="H4" s="153" t="s">
        <v>3</v>
      </c>
      <c r="I4" s="154"/>
      <c r="J4" s="153" t="s">
        <v>243</v>
      </c>
      <c r="K4" s="154"/>
      <c r="L4" s="153" t="s">
        <v>235</v>
      </c>
      <c r="M4" s="154"/>
      <c r="N4" s="153" t="s">
        <v>5</v>
      </c>
      <c r="O4" s="154"/>
      <c r="P4" s="153" t="s">
        <v>4</v>
      </c>
      <c r="Q4" s="154"/>
      <c r="R4" s="153" t="s">
        <v>6</v>
      </c>
      <c r="S4" s="154"/>
      <c r="T4" s="153" t="s">
        <v>246</v>
      </c>
      <c r="U4" s="154"/>
      <c r="V4" s="153" t="s">
        <v>7</v>
      </c>
      <c r="W4" s="154"/>
      <c r="X4" s="153" t="s">
        <v>8</v>
      </c>
      <c r="Y4" s="154"/>
      <c r="Z4" s="153" t="s">
        <v>9</v>
      </c>
      <c r="AA4" s="154"/>
      <c r="AB4" s="153" t="s">
        <v>242</v>
      </c>
      <c r="AC4" s="154"/>
      <c r="AD4" s="153" t="s">
        <v>10</v>
      </c>
      <c r="AE4" s="154"/>
      <c r="AF4" s="153" t="s">
        <v>11</v>
      </c>
      <c r="AG4" s="154"/>
      <c r="AH4" s="153" t="s">
        <v>236</v>
      </c>
      <c r="AI4" s="154"/>
      <c r="AJ4" s="153" t="s">
        <v>245</v>
      </c>
      <c r="AK4" s="154"/>
      <c r="AL4" s="153" t="s">
        <v>12</v>
      </c>
      <c r="AM4" s="154"/>
      <c r="AN4" s="153" t="s">
        <v>237</v>
      </c>
      <c r="AO4" s="154"/>
      <c r="AP4" s="153" t="s">
        <v>238</v>
      </c>
      <c r="AQ4" s="154"/>
      <c r="AR4" s="153" t="s">
        <v>241</v>
      </c>
      <c r="AS4" s="154"/>
      <c r="AT4" s="153" t="s">
        <v>13</v>
      </c>
      <c r="AU4" s="154"/>
      <c r="AV4" s="153" t="s">
        <v>14</v>
      </c>
      <c r="AW4" s="154"/>
      <c r="AX4" s="153" t="s">
        <v>15</v>
      </c>
      <c r="AY4" s="154"/>
      <c r="AZ4" s="153" t="s">
        <v>16</v>
      </c>
      <c r="BA4" s="154"/>
      <c r="BB4" s="153" t="s">
        <v>17</v>
      </c>
      <c r="BC4" s="154"/>
      <c r="BD4" s="153" t="s">
        <v>239</v>
      </c>
      <c r="BE4" s="154"/>
      <c r="BF4" s="153" t="s">
        <v>240</v>
      </c>
      <c r="BG4" s="154"/>
      <c r="BH4" s="153" t="s">
        <v>18</v>
      </c>
      <c r="BI4" s="154"/>
      <c r="BJ4" s="153" t="s">
        <v>19</v>
      </c>
      <c r="BK4" s="154"/>
      <c r="BL4" s="155" t="s">
        <v>20</v>
      </c>
      <c r="BM4" s="156"/>
    </row>
    <row r="5" spans="1:65" ht="30" x14ac:dyDescent="0.25">
      <c r="A5" s="3"/>
      <c r="B5" s="53" t="s">
        <v>303</v>
      </c>
      <c r="C5" s="54" t="s">
        <v>302</v>
      </c>
      <c r="D5" s="53" t="s">
        <v>303</v>
      </c>
      <c r="E5" s="54" t="s">
        <v>302</v>
      </c>
      <c r="F5" s="53" t="s">
        <v>303</v>
      </c>
      <c r="G5" s="54" t="s">
        <v>302</v>
      </c>
      <c r="H5" s="53" t="s">
        <v>303</v>
      </c>
      <c r="I5" s="54" t="s">
        <v>302</v>
      </c>
      <c r="J5" s="53" t="s">
        <v>303</v>
      </c>
      <c r="K5" s="54" t="s">
        <v>302</v>
      </c>
      <c r="L5" s="53" t="s">
        <v>303</v>
      </c>
      <c r="M5" s="54" t="s">
        <v>302</v>
      </c>
      <c r="N5" s="53" t="s">
        <v>303</v>
      </c>
      <c r="O5" s="54" t="s">
        <v>302</v>
      </c>
      <c r="P5" s="53" t="s">
        <v>303</v>
      </c>
      <c r="Q5" s="54" t="s">
        <v>302</v>
      </c>
      <c r="R5" s="53" t="s">
        <v>303</v>
      </c>
      <c r="S5" s="54" t="s">
        <v>302</v>
      </c>
      <c r="T5" s="53" t="s">
        <v>303</v>
      </c>
      <c r="U5" s="54" t="s">
        <v>302</v>
      </c>
      <c r="V5" s="53" t="s">
        <v>303</v>
      </c>
      <c r="W5" s="54" t="s">
        <v>302</v>
      </c>
      <c r="X5" s="53" t="s">
        <v>303</v>
      </c>
      <c r="Y5" s="54" t="s">
        <v>302</v>
      </c>
      <c r="Z5" s="53" t="s">
        <v>303</v>
      </c>
      <c r="AA5" s="54" t="s">
        <v>302</v>
      </c>
      <c r="AB5" s="53" t="s">
        <v>303</v>
      </c>
      <c r="AC5" s="54" t="s">
        <v>302</v>
      </c>
      <c r="AD5" s="53" t="s">
        <v>303</v>
      </c>
      <c r="AE5" s="54" t="s">
        <v>302</v>
      </c>
      <c r="AF5" s="53" t="s">
        <v>303</v>
      </c>
      <c r="AG5" s="54" t="s">
        <v>302</v>
      </c>
      <c r="AH5" s="53" t="s">
        <v>303</v>
      </c>
      <c r="AI5" s="54" t="s">
        <v>302</v>
      </c>
      <c r="AJ5" s="53" t="s">
        <v>303</v>
      </c>
      <c r="AK5" s="54" t="s">
        <v>302</v>
      </c>
      <c r="AL5" s="53" t="s">
        <v>303</v>
      </c>
      <c r="AM5" s="54" t="s">
        <v>302</v>
      </c>
      <c r="AN5" s="53" t="s">
        <v>303</v>
      </c>
      <c r="AO5" s="54" t="s">
        <v>302</v>
      </c>
      <c r="AP5" s="53" t="s">
        <v>303</v>
      </c>
      <c r="AQ5" s="54" t="s">
        <v>302</v>
      </c>
      <c r="AR5" s="53" t="s">
        <v>303</v>
      </c>
      <c r="AS5" s="54" t="s">
        <v>302</v>
      </c>
      <c r="AT5" s="53" t="s">
        <v>303</v>
      </c>
      <c r="AU5" s="54" t="s">
        <v>302</v>
      </c>
      <c r="AV5" s="53" t="s">
        <v>303</v>
      </c>
      <c r="AW5" s="54" t="s">
        <v>302</v>
      </c>
      <c r="AX5" s="53" t="s">
        <v>303</v>
      </c>
      <c r="AY5" s="54" t="s">
        <v>302</v>
      </c>
      <c r="AZ5" s="53" t="s">
        <v>303</v>
      </c>
      <c r="BA5" s="54" t="s">
        <v>302</v>
      </c>
      <c r="BB5" s="53" t="s">
        <v>303</v>
      </c>
      <c r="BC5" s="54" t="s">
        <v>302</v>
      </c>
      <c r="BD5" s="53" t="s">
        <v>303</v>
      </c>
      <c r="BE5" s="54" t="s">
        <v>302</v>
      </c>
      <c r="BF5" s="53" t="s">
        <v>303</v>
      </c>
      <c r="BG5" s="54" t="s">
        <v>302</v>
      </c>
      <c r="BH5" s="53" t="s">
        <v>303</v>
      </c>
      <c r="BI5" s="54" t="s">
        <v>302</v>
      </c>
      <c r="BJ5" s="53" t="s">
        <v>303</v>
      </c>
      <c r="BK5" s="54" t="s">
        <v>302</v>
      </c>
      <c r="BL5" s="105" t="s">
        <v>303</v>
      </c>
      <c r="BM5" s="106" t="s">
        <v>302</v>
      </c>
    </row>
    <row r="6" spans="1:65" x14ac:dyDescent="0.25">
      <c r="A6" s="20" t="s">
        <v>285</v>
      </c>
      <c r="B6" s="76"/>
      <c r="C6" s="76"/>
      <c r="D6" s="76"/>
      <c r="E6" s="76"/>
      <c r="F6" s="76"/>
      <c r="G6" s="76"/>
      <c r="H6" s="92">
        <v>13755</v>
      </c>
      <c r="I6" s="92">
        <v>32356</v>
      </c>
      <c r="J6" s="76"/>
      <c r="K6" s="76"/>
      <c r="L6" s="92">
        <v>2249</v>
      </c>
      <c r="M6" s="92">
        <v>5635</v>
      </c>
      <c r="N6" s="76"/>
      <c r="O6" s="76"/>
      <c r="P6" s="91">
        <v>1.31</v>
      </c>
      <c r="Q6" s="91">
        <v>70.989999999999995</v>
      </c>
      <c r="R6" s="92">
        <v>6565.98</v>
      </c>
      <c r="S6" s="92">
        <v>13558.95</v>
      </c>
      <c r="T6" s="92">
        <v>4613</v>
      </c>
      <c r="U6" s="92">
        <v>6405</v>
      </c>
      <c r="V6" s="92">
        <v>12536</v>
      </c>
      <c r="W6" s="92">
        <v>32171</v>
      </c>
      <c r="X6" s="92">
        <v>27171</v>
      </c>
      <c r="Y6" s="92">
        <v>60101</v>
      </c>
      <c r="Z6" s="92">
        <v>4643</v>
      </c>
      <c r="AA6" s="92">
        <v>19837</v>
      </c>
      <c r="AB6" s="92">
        <v>271</v>
      </c>
      <c r="AC6" s="92">
        <v>701</v>
      </c>
      <c r="AD6" s="92">
        <v>853</v>
      </c>
      <c r="AE6" s="92">
        <v>1954</v>
      </c>
      <c r="AF6" s="92">
        <v>784.61</v>
      </c>
      <c r="AG6" s="92">
        <v>2299.88</v>
      </c>
      <c r="AH6" s="76"/>
      <c r="AI6" s="76"/>
      <c r="AJ6" s="76"/>
      <c r="AK6" s="76"/>
      <c r="AL6" s="92">
        <v>12721.44</v>
      </c>
      <c r="AM6" s="92">
        <v>32689.55</v>
      </c>
      <c r="AN6" s="92">
        <v>6</v>
      </c>
      <c r="AO6" s="92">
        <v>18</v>
      </c>
      <c r="AP6" s="92">
        <v>110</v>
      </c>
      <c r="AQ6" s="92">
        <v>130</v>
      </c>
      <c r="AR6" s="76">
        <v>5992</v>
      </c>
      <c r="AS6" s="76">
        <v>15810</v>
      </c>
      <c r="AT6" s="92">
        <v>2801</v>
      </c>
      <c r="AU6" s="92">
        <v>7634</v>
      </c>
      <c r="AV6" s="92">
        <v>12646</v>
      </c>
      <c r="AW6" s="92">
        <v>21840</v>
      </c>
      <c r="AX6" s="92">
        <v>213</v>
      </c>
      <c r="AY6" s="92">
        <v>562</v>
      </c>
      <c r="AZ6" s="76"/>
      <c r="BA6" s="76"/>
      <c r="BB6" s="92">
        <v>9779</v>
      </c>
      <c r="BC6" s="92">
        <v>26982</v>
      </c>
      <c r="BD6" s="92">
        <v>37778</v>
      </c>
      <c r="BE6" s="92">
        <v>116641</v>
      </c>
      <c r="BF6" s="92">
        <v>11311</v>
      </c>
      <c r="BG6" s="92">
        <v>45112</v>
      </c>
      <c r="BH6" s="92">
        <v>18106</v>
      </c>
      <c r="BI6" s="92">
        <v>46150</v>
      </c>
      <c r="BJ6" s="92">
        <v>741</v>
      </c>
      <c r="BK6" s="92">
        <v>2448</v>
      </c>
      <c r="BL6" s="68">
        <f>SUM(B6+D6+F6+H6+J6+L6+N6+P6+R6+T6+V6+X6+Z6+AB6+AD6+AF6+AH6+AJ6+AL6+AN6+AP6+AR6+AT6+AV6+AX6+AZ6+BB6+BD6+BF6+BH6+BJ6)</f>
        <v>185647.34000000003</v>
      </c>
      <c r="BM6" s="68">
        <f>SUM(C6+E6+G6+I6+K6+M6+O6+Q6+S6+U6+W6+Y6+AA6+AC6+AE6+AG6+AI6+AK6+AM6+AO6+AQ6+AS6+AU6+AW6+AY6+BA6+BC6+BE6+BG6+BI6+BK6)</f>
        <v>491106.37</v>
      </c>
    </row>
    <row r="7" spans="1:65" x14ac:dyDescent="0.25">
      <c r="A7" s="20" t="s">
        <v>286</v>
      </c>
      <c r="B7" s="76"/>
      <c r="C7" s="76"/>
      <c r="D7" s="76"/>
      <c r="E7" s="76"/>
      <c r="F7" s="76"/>
      <c r="G7" s="76"/>
      <c r="H7" s="92">
        <v>815</v>
      </c>
      <c r="I7" s="92">
        <v>1326</v>
      </c>
      <c r="J7" s="76"/>
      <c r="K7" s="76"/>
      <c r="L7" s="92"/>
      <c r="M7" s="92">
        <v>-40</v>
      </c>
      <c r="N7" s="76"/>
      <c r="O7" s="76"/>
      <c r="P7" s="91">
        <v>5.53</v>
      </c>
      <c r="Q7" s="91">
        <v>22.39</v>
      </c>
      <c r="R7" s="92">
        <v>372.19</v>
      </c>
      <c r="S7" s="92">
        <v>1110.58</v>
      </c>
      <c r="T7" s="92">
        <v>393</v>
      </c>
      <c r="U7" s="92">
        <v>2745</v>
      </c>
      <c r="V7" s="92">
        <v>383</v>
      </c>
      <c r="W7" s="92">
        <v>3038</v>
      </c>
      <c r="X7" s="92">
        <v>231</v>
      </c>
      <c r="Y7" s="92">
        <v>998</v>
      </c>
      <c r="Z7" s="92">
        <v>233</v>
      </c>
      <c r="AA7" s="92">
        <v>1343</v>
      </c>
      <c r="AB7" s="92">
        <v>1</v>
      </c>
      <c r="AC7" s="92">
        <v>-9</v>
      </c>
      <c r="AD7" s="92">
        <v>0</v>
      </c>
      <c r="AE7" s="92">
        <v>-22</v>
      </c>
      <c r="AF7" s="92">
        <v>465.98</v>
      </c>
      <c r="AG7" s="92">
        <v>1966.21</v>
      </c>
      <c r="AH7" s="76"/>
      <c r="AI7" s="76"/>
      <c r="AJ7" s="76"/>
      <c r="AK7" s="76"/>
      <c r="AL7" s="92">
        <v>-407.94</v>
      </c>
      <c r="AM7" s="92">
        <v>3642.26</v>
      </c>
      <c r="AN7" s="92"/>
      <c r="AO7" s="92">
        <v>-1</v>
      </c>
      <c r="AP7" s="92">
        <v>114</v>
      </c>
      <c r="AQ7" s="92">
        <v>124</v>
      </c>
      <c r="AR7" s="76">
        <v>378</v>
      </c>
      <c r="AS7" s="76">
        <v>755</v>
      </c>
      <c r="AT7" s="92">
        <v>182</v>
      </c>
      <c r="AU7" s="92">
        <v>950</v>
      </c>
      <c r="AV7" s="92">
        <v>2</v>
      </c>
      <c r="AW7" s="92">
        <v>-12</v>
      </c>
      <c r="AX7" s="92">
        <v>0</v>
      </c>
      <c r="AY7" s="92">
        <v>-21</v>
      </c>
      <c r="AZ7" s="76"/>
      <c r="BA7" s="76"/>
      <c r="BB7" s="92">
        <v>293</v>
      </c>
      <c r="BC7" s="92">
        <v>2025</v>
      </c>
      <c r="BD7" s="92">
        <v>58052</v>
      </c>
      <c r="BE7" s="92">
        <v>58052</v>
      </c>
      <c r="BF7" s="92">
        <v>1073</v>
      </c>
      <c r="BG7" s="92">
        <v>6465</v>
      </c>
      <c r="BH7" s="92">
        <v>1521</v>
      </c>
      <c r="BI7" s="92">
        <v>2129</v>
      </c>
      <c r="BJ7" s="92">
        <v>-3</v>
      </c>
      <c r="BK7" s="92">
        <v>-14</v>
      </c>
      <c r="BL7" s="68">
        <f t="shared" ref="BL7:BL12" si="0">SUM(B7+D7+F7+H7+J7+L7+N7+P7+R7+T7+V7+X7+Z7+AB7+AD7+AF7+AH7+AJ7+AL7+AN7+AP7+AR7+AT7+AV7+AX7+AZ7+BB7+BD7+BF7+BH7+BJ7)</f>
        <v>64103.76</v>
      </c>
      <c r="BM7" s="68">
        <f t="shared" ref="BM7:BM12" si="1">SUM(C7+E7+G7+I7+K7+M7+O7+Q7+S7+U7+W7+Y7+AA7+AC7+AE7+AG7+AI7+AK7+AM7+AO7+AQ7+AS7+AU7+AW7+AY7+BA7+BC7+BE7+BG7+BI7+BK7)</f>
        <v>86572.44</v>
      </c>
    </row>
    <row r="8" spans="1:65" x14ac:dyDescent="0.25">
      <c r="A8" s="20" t="s">
        <v>287</v>
      </c>
      <c r="B8" s="76"/>
      <c r="C8" s="76"/>
      <c r="D8" s="76"/>
      <c r="E8" s="76"/>
      <c r="F8" s="76"/>
      <c r="G8" s="76"/>
      <c r="H8" s="92">
        <v>-11029</v>
      </c>
      <c r="I8" s="92">
        <v>-22969</v>
      </c>
      <c r="J8" s="76"/>
      <c r="K8" s="76"/>
      <c r="L8" s="92">
        <v>1244</v>
      </c>
      <c r="M8" s="92">
        <v>2998</v>
      </c>
      <c r="N8" s="76"/>
      <c r="O8" s="76"/>
      <c r="P8" s="91">
        <v>6.13</v>
      </c>
      <c r="Q8" s="91">
        <v>84.93</v>
      </c>
      <c r="R8" s="92">
        <v>4567.1000000000004</v>
      </c>
      <c r="S8" s="92">
        <v>9538.49</v>
      </c>
      <c r="T8" s="92">
        <v>4562</v>
      </c>
      <c r="U8" s="92">
        <v>8166</v>
      </c>
      <c r="V8" s="92">
        <v>-9704</v>
      </c>
      <c r="W8" s="92">
        <v>-27510</v>
      </c>
      <c r="X8" s="92">
        <v>20490</v>
      </c>
      <c r="Y8" s="92">
        <v>43894</v>
      </c>
      <c r="Z8" s="92">
        <v>4201</v>
      </c>
      <c r="AA8" s="92">
        <v>17649</v>
      </c>
      <c r="AB8" s="92">
        <v>173</v>
      </c>
      <c r="AC8" s="92">
        <v>461</v>
      </c>
      <c r="AD8" s="92">
        <v>633</v>
      </c>
      <c r="AE8" s="92">
        <v>1332</v>
      </c>
      <c r="AF8" s="92">
        <v>-927.71</v>
      </c>
      <c r="AG8" s="92">
        <v>-3385.09</v>
      </c>
      <c r="AH8" s="76"/>
      <c r="AI8" s="76"/>
      <c r="AJ8" s="76"/>
      <c r="AK8" s="76"/>
      <c r="AL8" s="92">
        <v>6839.74</v>
      </c>
      <c r="AM8" s="92">
        <v>-1143.56</v>
      </c>
      <c r="AN8" s="92">
        <v>-1</v>
      </c>
      <c r="AO8" s="92">
        <v>-5</v>
      </c>
      <c r="AP8" s="92">
        <v>180</v>
      </c>
      <c r="AQ8" s="92">
        <v>206</v>
      </c>
      <c r="AR8" s="76">
        <v>4383</v>
      </c>
      <c r="AS8" s="76">
        <v>11306</v>
      </c>
      <c r="AT8" s="92">
        <v>1951</v>
      </c>
      <c r="AU8" s="92">
        <v>6223</v>
      </c>
      <c r="AV8" s="92">
        <v>8135</v>
      </c>
      <c r="AW8" s="92">
        <v>13539</v>
      </c>
      <c r="AX8" s="92">
        <v>126</v>
      </c>
      <c r="AY8" s="92">
        <v>366</v>
      </c>
      <c r="AZ8" s="76"/>
      <c r="BA8" s="76"/>
      <c r="BB8" s="92">
        <v>6310</v>
      </c>
      <c r="BC8" s="92">
        <v>20422</v>
      </c>
      <c r="BD8" s="92">
        <v>34777</v>
      </c>
      <c r="BE8" s="92">
        <v>37910</v>
      </c>
      <c r="BF8" s="92">
        <v>6457</v>
      </c>
      <c r="BG8" s="92">
        <v>20352</v>
      </c>
      <c r="BH8" s="92">
        <v>4994</v>
      </c>
      <c r="BI8" s="92">
        <v>13690</v>
      </c>
      <c r="BJ8" s="92">
        <v>387</v>
      </c>
      <c r="BK8" s="92">
        <v>1407</v>
      </c>
      <c r="BL8" s="68">
        <f t="shared" si="0"/>
        <v>88754.260000000009</v>
      </c>
      <c r="BM8" s="68">
        <f t="shared" si="1"/>
        <v>154531.76999999999</v>
      </c>
    </row>
    <row r="9" spans="1:65" s="7" customFormat="1" x14ac:dyDescent="0.25">
      <c r="A9" s="3" t="s">
        <v>288</v>
      </c>
      <c r="B9" s="10"/>
      <c r="C9" s="10"/>
      <c r="D9" s="10"/>
      <c r="E9" s="10"/>
      <c r="F9" s="10"/>
      <c r="G9" s="10"/>
      <c r="H9" s="10">
        <v>3541</v>
      </c>
      <c r="I9" s="10">
        <v>10713</v>
      </c>
      <c r="J9" s="10"/>
      <c r="K9" s="10"/>
      <c r="L9" s="10">
        <v>1005</v>
      </c>
      <c r="M9" s="10">
        <v>2597</v>
      </c>
      <c r="N9" s="10"/>
      <c r="O9" s="10"/>
      <c r="P9" s="131">
        <v>0.71</v>
      </c>
      <c r="Q9" s="131">
        <v>8.4499999999999993</v>
      </c>
      <c r="R9" s="10">
        <v>2371.0700000000002</v>
      </c>
      <c r="S9" s="10">
        <v>5131.04</v>
      </c>
      <c r="T9" s="10">
        <v>444</v>
      </c>
      <c r="U9" s="10">
        <v>984</v>
      </c>
      <c r="V9" s="10">
        <v>3214</v>
      </c>
      <c r="W9" s="10">
        <v>7700</v>
      </c>
      <c r="X9" s="10">
        <v>6912</v>
      </c>
      <c r="Y9" s="10">
        <v>17205</v>
      </c>
      <c r="Z9" s="10">
        <v>674</v>
      </c>
      <c r="AA9" s="10">
        <v>3531</v>
      </c>
      <c r="AB9" s="10">
        <v>99</v>
      </c>
      <c r="AC9" s="10">
        <v>231</v>
      </c>
      <c r="AD9" s="10">
        <v>220</v>
      </c>
      <c r="AE9" s="10">
        <v>601</v>
      </c>
      <c r="AF9" s="10">
        <v>322.88</v>
      </c>
      <c r="AG9" s="10">
        <v>881</v>
      </c>
      <c r="AH9" s="10"/>
      <c r="AI9" s="10"/>
      <c r="AJ9" s="10"/>
      <c r="AK9" s="10"/>
      <c r="AL9" s="10">
        <v>5473.76</v>
      </c>
      <c r="AM9" s="10">
        <v>37475.379999999997</v>
      </c>
      <c r="AN9" s="10">
        <v>5</v>
      </c>
      <c r="AO9" s="10">
        <v>12</v>
      </c>
      <c r="AP9" s="10">
        <v>43</v>
      </c>
      <c r="AQ9" s="10">
        <v>48</v>
      </c>
      <c r="AR9" s="10">
        <v>1987</v>
      </c>
      <c r="AS9" s="10">
        <v>5258</v>
      </c>
      <c r="AT9" s="10">
        <v>1032</v>
      </c>
      <c r="AU9" s="10">
        <v>2361</v>
      </c>
      <c r="AV9" s="10">
        <v>4514</v>
      </c>
      <c r="AW9" s="10">
        <v>8290</v>
      </c>
      <c r="AX9" s="10">
        <v>87</v>
      </c>
      <c r="AY9" s="10">
        <v>175</v>
      </c>
      <c r="AZ9" s="10"/>
      <c r="BA9" s="10"/>
      <c r="BB9" s="10"/>
      <c r="BC9" s="10">
        <v>8584</v>
      </c>
      <c r="BD9" s="10">
        <v>61053</v>
      </c>
      <c r="BE9" s="10">
        <v>136784</v>
      </c>
      <c r="BF9" s="10">
        <v>5928</v>
      </c>
      <c r="BG9" s="10">
        <v>31225</v>
      </c>
      <c r="BH9" s="10">
        <v>14633</v>
      </c>
      <c r="BI9" s="10">
        <v>34589</v>
      </c>
      <c r="BJ9" s="10">
        <v>351</v>
      </c>
      <c r="BK9" s="10">
        <v>1027</v>
      </c>
      <c r="BL9" s="63">
        <f t="shared" si="0"/>
        <v>113910.42</v>
      </c>
      <c r="BM9" s="63">
        <f t="shared" si="1"/>
        <v>315410.87</v>
      </c>
    </row>
    <row r="10" spans="1:65" x14ac:dyDescent="0.25">
      <c r="A10" s="20" t="s">
        <v>289</v>
      </c>
      <c r="B10" s="92">
        <v>2</v>
      </c>
      <c r="C10" s="92">
        <v>2</v>
      </c>
      <c r="D10" s="76"/>
      <c r="E10" s="76"/>
      <c r="F10" s="76"/>
      <c r="G10" s="76"/>
      <c r="H10" s="92">
        <v>23011</v>
      </c>
      <c r="I10" s="92">
        <v>23011</v>
      </c>
      <c r="J10" s="76"/>
      <c r="K10" s="76"/>
      <c r="L10" s="92">
        <v>7122</v>
      </c>
      <c r="M10" s="92">
        <v>7122</v>
      </c>
      <c r="N10" s="76"/>
      <c r="O10" s="76"/>
      <c r="P10" s="91">
        <v>754.98</v>
      </c>
      <c r="Q10" s="91">
        <v>754.98</v>
      </c>
      <c r="R10" s="92">
        <v>14686.61</v>
      </c>
      <c r="S10" s="92">
        <v>14686.61</v>
      </c>
      <c r="T10" s="92">
        <v>4548</v>
      </c>
      <c r="U10" s="92">
        <v>4548</v>
      </c>
      <c r="V10" s="92">
        <v>27037</v>
      </c>
      <c r="W10" s="92">
        <v>27037</v>
      </c>
      <c r="X10" s="92">
        <v>59395</v>
      </c>
      <c r="Y10" s="92">
        <v>59395</v>
      </c>
      <c r="Z10" s="92">
        <v>513</v>
      </c>
      <c r="AA10" s="92">
        <v>10472</v>
      </c>
      <c r="AB10" s="92">
        <v>756</v>
      </c>
      <c r="AC10" s="92">
        <v>756</v>
      </c>
      <c r="AD10" s="92">
        <v>1336</v>
      </c>
      <c r="AE10" s="92">
        <v>1336</v>
      </c>
      <c r="AF10" s="92">
        <v>3072.64</v>
      </c>
      <c r="AG10" s="92">
        <v>3072.64</v>
      </c>
      <c r="AH10" s="76"/>
      <c r="AI10" s="76"/>
      <c r="AJ10" s="76"/>
      <c r="AK10" s="76"/>
      <c r="AL10" s="92">
        <v>148812.69</v>
      </c>
      <c r="AM10" s="92">
        <v>148812.69</v>
      </c>
      <c r="AN10" s="92">
        <v>409</v>
      </c>
      <c r="AO10" s="92">
        <v>409</v>
      </c>
      <c r="AP10" s="92">
        <v>395</v>
      </c>
      <c r="AQ10" s="92">
        <v>395</v>
      </c>
      <c r="AR10" s="76">
        <v>20821</v>
      </c>
      <c r="AS10" s="76">
        <v>20821</v>
      </c>
      <c r="AT10" s="92">
        <v>3390</v>
      </c>
      <c r="AU10" s="92">
        <v>3390</v>
      </c>
      <c r="AV10" s="92">
        <v>27677</v>
      </c>
      <c r="AW10" s="92">
        <v>27677</v>
      </c>
      <c r="AX10" s="92">
        <v>2217</v>
      </c>
      <c r="AY10" s="92">
        <v>2217</v>
      </c>
      <c r="AZ10" s="76"/>
      <c r="BA10" s="76"/>
      <c r="BB10" s="92">
        <v>23166</v>
      </c>
      <c r="BC10" s="92">
        <v>23166</v>
      </c>
      <c r="BD10" s="92">
        <v>391043</v>
      </c>
      <c r="BE10" s="92">
        <v>391043</v>
      </c>
      <c r="BF10" s="92">
        <v>9315</v>
      </c>
      <c r="BG10" s="92">
        <v>119428</v>
      </c>
      <c r="BH10" s="92">
        <v>183755</v>
      </c>
      <c r="BI10" s="92">
        <v>183755</v>
      </c>
      <c r="BJ10" s="92">
        <v>698</v>
      </c>
      <c r="BK10" s="92">
        <v>6043</v>
      </c>
      <c r="BL10" s="68">
        <f t="shared" si="0"/>
        <v>953932.92</v>
      </c>
      <c r="BM10" s="68">
        <f t="shared" si="1"/>
        <v>1079349.92</v>
      </c>
    </row>
    <row r="11" spans="1:65" ht="15" customHeight="1" x14ac:dyDescent="0.25">
      <c r="A11" s="20" t="s">
        <v>290</v>
      </c>
      <c r="B11" s="92">
        <v>2</v>
      </c>
      <c r="C11" s="92">
        <v>0</v>
      </c>
      <c r="D11" s="76"/>
      <c r="E11" s="76"/>
      <c r="F11" s="76"/>
      <c r="G11" s="76"/>
      <c r="H11" s="92">
        <v>22524</v>
      </c>
      <c r="I11" s="92">
        <v>20121</v>
      </c>
      <c r="J11" s="76"/>
      <c r="K11" s="76"/>
      <c r="L11" s="92">
        <v>6363</v>
      </c>
      <c r="M11" s="92">
        <v>4682</v>
      </c>
      <c r="N11" s="76"/>
      <c r="O11" s="76"/>
      <c r="P11" s="91">
        <v>682.59</v>
      </c>
      <c r="Q11" s="91">
        <v>551.29</v>
      </c>
      <c r="R11" s="92">
        <v>15529.94</v>
      </c>
      <c r="S11" s="92">
        <v>10293.450000000001</v>
      </c>
      <c r="T11" s="92">
        <v>4798</v>
      </c>
      <c r="U11" s="92">
        <v>3359</v>
      </c>
      <c r="V11" s="92">
        <v>-27007</v>
      </c>
      <c r="W11" s="92">
        <v>-20482</v>
      </c>
      <c r="X11" s="92">
        <v>58977</v>
      </c>
      <c r="Y11" s="92">
        <v>41703</v>
      </c>
      <c r="Z11" s="92">
        <v>0</v>
      </c>
      <c r="AA11" s="92">
        <v>8483</v>
      </c>
      <c r="AB11" s="92">
        <v>736</v>
      </c>
      <c r="AC11" s="92">
        <v>923</v>
      </c>
      <c r="AD11" s="92">
        <v>1733</v>
      </c>
      <c r="AE11" s="92">
        <v>1796</v>
      </c>
      <c r="AF11" s="92">
        <v>-3325.03</v>
      </c>
      <c r="AG11" s="92">
        <v>-2816.18</v>
      </c>
      <c r="AH11" s="76"/>
      <c r="AI11" s="76"/>
      <c r="AJ11" s="76"/>
      <c r="AK11" s="76"/>
      <c r="AL11" s="92">
        <v>145082.75</v>
      </c>
      <c r="AM11" s="92">
        <v>130971.29</v>
      </c>
      <c r="AN11" s="92">
        <v>-357</v>
      </c>
      <c r="AO11" s="92">
        <v>-321</v>
      </c>
      <c r="AP11" s="92">
        <v>349</v>
      </c>
      <c r="AQ11" s="92">
        <v>131</v>
      </c>
      <c r="AR11" s="76">
        <v>20095</v>
      </c>
      <c r="AS11" s="76">
        <v>16652</v>
      </c>
      <c r="AT11" s="92">
        <v>4355</v>
      </c>
      <c r="AU11" s="92">
        <v>4530</v>
      </c>
      <c r="AV11" s="92">
        <v>29144</v>
      </c>
      <c r="AW11" s="92">
        <v>18485</v>
      </c>
      <c r="AX11" s="92">
        <v>2121</v>
      </c>
      <c r="AY11" s="92">
        <v>1757</v>
      </c>
      <c r="AZ11" s="76"/>
      <c r="BA11" s="76"/>
      <c r="BB11" s="92">
        <v>20356</v>
      </c>
      <c r="BC11" s="92">
        <v>12164</v>
      </c>
      <c r="BD11" s="92">
        <v>402873</v>
      </c>
      <c r="BE11" s="92">
        <v>383953</v>
      </c>
      <c r="BF11" s="92">
        <v>0</v>
      </c>
      <c r="BG11" s="92">
        <v>111527</v>
      </c>
      <c r="BH11" s="92">
        <v>184404</v>
      </c>
      <c r="BI11" s="92">
        <v>163615</v>
      </c>
      <c r="BJ11" s="92"/>
      <c r="BK11" s="92">
        <v>4976</v>
      </c>
      <c r="BL11" s="68">
        <f t="shared" si="0"/>
        <v>889436.25</v>
      </c>
      <c r="BM11" s="68">
        <f t="shared" si="1"/>
        <v>917053.85</v>
      </c>
    </row>
    <row r="12" spans="1:65" s="7" customFormat="1" x14ac:dyDescent="0.25">
      <c r="A12" s="3" t="s">
        <v>291</v>
      </c>
      <c r="B12" s="10"/>
      <c r="C12" s="10">
        <v>2</v>
      </c>
      <c r="D12" s="10"/>
      <c r="E12" s="10"/>
      <c r="F12" s="10"/>
      <c r="G12" s="10"/>
      <c r="H12" s="10">
        <v>4028</v>
      </c>
      <c r="I12" s="10">
        <v>13603</v>
      </c>
      <c r="J12" s="10"/>
      <c r="K12" s="10"/>
      <c r="L12" s="10">
        <v>1764</v>
      </c>
      <c r="M12" s="10">
        <v>5037</v>
      </c>
      <c r="N12" s="10"/>
      <c r="O12" s="10"/>
      <c r="P12" s="131">
        <v>73.099999999999994</v>
      </c>
      <c r="Q12" s="131">
        <v>212.14</v>
      </c>
      <c r="R12" s="10">
        <v>1527.74</v>
      </c>
      <c r="S12" s="10">
        <v>9524.2000000000007</v>
      </c>
      <c r="T12" s="10">
        <v>194</v>
      </c>
      <c r="U12" s="10">
        <v>2173</v>
      </c>
      <c r="V12" s="10">
        <v>3244</v>
      </c>
      <c r="W12" s="10">
        <v>14255</v>
      </c>
      <c r="X12" s="10">
        <v>7330</v>
      </c>
      <c r="Y12" s="10">
        <v>30179</v>
      </c>
      <c r="Z12" s="10">
        <v>1188</v>
      </c>
      <c r="AA12" s="10">
        <v>5520</v>
      </c>
      <c r="AB12" s="10">
        <v>118</v>
      </c>
      <c r="AC12" s="10">
        <v>63</v>
      </c>
      <c r="AD12" s="10">
        <v>-177</v>
      </c>
      <c r="AE12" s="10">
        <v>141</v>
      </c>
      <c r="AF12" s="10">
        <v>70.489999999999995</v>
      </c>
      <c r="AG12" s="10">
        <v>1137.46</v>
      </c>
      <c r="AH12" s="10"/>
      <c r="AI12" s="10"/>
      <c r="AJ12" s="10"/>
      <c r="AK12" s="10"/>
      <c r="AL12" s="10">
        <v>9203.7099999999991</v>
      </c>
      <c r="AM12" s="10">
        <v>55316.77</v>
      </c>
      <c r="AN12" s="10">
        <v>58</v>
      </c>
      <c r="AO12" s="10">
        <v>100</v>
      </c>
      <c r="AP12" s="10">
        <v>90</v>
      </c>
      <c r="AQ12" s="10">
        <v>312</v>
      </c>
      <c r="AR12" s="10">
        <v>2714</v>
      </c>
      <c r="AS12" s="10">
        <v>9428</v>
      </c>
      <c r="AT12" s="10">
        <v>66</v>
      </c>
      <c r="AU12" s="10">
        <v>1222</v>
      </c>
      <c r="AV12" s="10">
        <v>3047</v>
      </c>
      <c r="AW12" s="10">
        <v>17481</v>
      </c>
      <c r="AX12" s="10">
        <v>184</v>
      </c>
      <c r="AY12" s="10">
        <v>635</v>
      </c>
      <c r="AZ12" s="10"/>
      <c r="BA12" s="10"/>
      <c r="BB12" s="10">
        <v>6571</v>
      </c>
      <c r="BC12" s="10">
        <v>19586</v>
      </c>
      <c r="BD12" s="10">
        <v>49224</v>
      </c>
      <c r="BE12" s="10">
        <v>143874</v>
      </c>
      <c r="BF12" s="10">
        <v>15243</v>
      </c>
      <c r="BG12" s="10">
        <v>39126</v>
      </c>
      <c r="BH12" s="10">
        <v>13984</v>
      </c>
      <c r="BI12" s="10">
        <v>54729</v>
      </c>
      <c r="BJ12" s="10">
        <v>1049</v>
      </c>
      <c r="BK12" s="10">
        <v>2094</v>
      </c>
      <c r="BL12" s="63">
        <f t="shared" si="0"/>
        <v>120794.04000000001</v>
      </c>
      <c r="BM12" s="63">
        <f t="shared" si="1"/>
        <v>425750.57</v>
      </c>
    </row>
    <row r="13" spans="1:65" x14ac:dyDescent="0.25">
      <c r="A13" s="13"/>
    </row>
    <row r="14" spans="1:65" x14ac:dyDescent="0.25">
      <c r="A14" s="27" t="s">
        <v>183</v>
      </c>
    </row>
    <row r="15" spans="1:65" x14ac:dyDescent="0.25">
      <c r="A15" s="3" t="s">
        <v>0</v>
      </c>
      <c r="B15" s="153" t="s">
        <v>1</v>
      </c>
      <c r="C15" s="154"/>
      <c r="D15" s="153" t="s">
        <v>234</v>
      </c>
      <c r="E15" s="154"/>
      <c r="F15" s="153" t="s">
        <v>2</v>
      </c>
      <c r="G15" s="154"/>
      <c r="H15" s="153" t="s">
        <v>3</v>
      </c>
      <c r="I15" s="154"/>
      <c r="J15" s="153" t="s">
        <v>243</v>
      </c>
      <c r="K15" s="154"/>
      <c r="L15" s="153" t="s">
        <v>235</v>
      </c>
      <c r="M15" s="154"/>
      <c r="N15" s="153" t="s">
        <v>5</v>
      </c>
      <c r="O15" s="154"/>
      <c r="P15" s="153" t="s">
        <v>4</v>
      </c>
      <c r="Q15" s="154"/>
      <c r="R15" s="153" t="s">
        <v>6</v>
      </c>
      <c r="S15" s="154"/>
      <c r="T15" s="153" t="s">
        <v>246</v>
      </c>
      <c r="U15" s="154"/>
      <c r="V15" s="153" t="s">
        <v>7</v>
      </c>
      <c r="W15" s="154"/>
      <c r="X15" s="153" t="s">
        <v>8</v>
      </c>
      <c r="Y15" s="154"/>
      <c r="Z15" s="153" t="s">
        <v>9</v>
      </c>
      <c r="AA15" s="154"/>
      <c r="AB15" s="153" t="s">
        <v>242</v>
      </c>
      <c r="AC15" s="154"/>
      <c r="AD15" s="153" t="s">
        <v>10</v>
      </c>
      <c r="AE15" s="154"/>
      <c r="AF15" s="153" t="s">
        <v>11</v>
      </c>
      <c r="AG15" s="154"/>
      <c r="AH15" s="153" t="s">
        <v>236</v>
      </c>
      <c r="AI15" s="154"/>
      <c r="AJ15" s="153" t="s">
        <v>245</v>
      </c>
      <c r="AK15" s="154"/>
      <c r="AL15" s="153" t="s">
        <v>12</v>
      </c>
      <c r="AM15" s="154"/>
      <c r="AN15" s="153" t="s">
        <v>237</v>
      </c>
      <c r="AO15" s="154"/>
      <c r="AP15" s="153" t="s">
        <v>238</v>
      </c>
      <c r="AQ15" s="154"/>
      <c r="AR15" s="153" t="s">
        <v>241</v>
      </c>
      <c r="AS15" s="154"/>
      <c r="AT15" s="153" t="s">
        <v>13</v>
      </c>
      <c r="AU15" s="154"/>
      <c r="AV15" s="153" t="s">
        <v>14</v>
      </c>
      <c r="AW15" s="154"/>
      <c r="AX15" s="153" t="s">
        <v>15</v>
      </c>
      <c r="AY15" s="154"/>
      <c r="AZ15" s="153" t="s">
        <v>16</v>
      </c>
      <c r="BA15" s="154"/>
      <c r="BB15" s="153" t="s">
        <v>17</v>
      </c>
      <c r="BC15" s="154"/>
      <c r="BD15" s="153" t="s">
        <v>239</v>
      </c>
      <c r="BE15" s="154"/>
      <c r="BF15" s="153" t="s">
        <v>240</v>
      </c>
      <c r="BG15" s="154"/>
      <c r="BH15" s="153" t="s">
        <v>18</v>
      </c>
      <c r="BI15" s="154"/>
      <c r="BJ15" s="153" t="s">
        <v>19</v>
      </c>
      <c r="BK15" s="154"/>
      <c r="BL15" s="155" t="s">
        <v>20</v>
      </c>
      <c r="BM15" s="156"/>
    </row>
    <row r="16" spans="1:65" ht="30" x14ac:dyDescent="0.25">
      <c r="A16" s="3"/>
      <c r="B16" s="53" t="s">
        <v>303</v>
      </c>
      <c r="C16" s="54" t="s">
        <v>302</v>
      </c>
      <c r="D16" s="53" t="s">
        <v>303</v>
      </c>
      <c r="E16" s="54" t="s">
        <v>302</v>
      </c>
      <c r="F16" s="53" t="s">
        <v>303</v>
      </c>
      <c r="G16" s="54" t="s">
        <v>302</v>
      </c>
      <c r="H16" s="53" t="s">
        <v>303</v>
      </c>
      <c r="I16" s="54" t="s">
        <v>302</v>
      </c>
      <c r="J16" s="53" t="s">
        <v>303</v>
      </c>
      <c r="K16" s="54" t="s">
        <v>302</v>
      </c>
      <c r="L16" s="53" t="s">
        <v>303</v>
      </c>
      <c r="M16" s="54" t="s">
        <v>302</v>
      </c>
      <c r="N16" s="53" t="s">
        <v>303</v>
      </c>
      <c r="O16" s="54" t="s">
        <v>302</v>
      </c>
      <c r="P16" s="53" t="s">
        <v>303</v>
      </c>
      <c r="Q16" s="54" t="s">
        <v>302</v>
      </c>
      <c r="R16" s="53" t="s">
        <v>303</v>
      </c>
      <c r="S16" s="54" t="s">
        <v>302</v>
      </c>
      <c r="T16" s="53" t="s">
        <v>303</v>
      </c>
      <c r="U16" s="54" t="s">
        <v>302</v>
      </c>
      <c r="V16" s="53" t="s">
        <v>303</v>
      </c>
      <c r="W16" s="54" t="s">
        <v>302</v>
      </c>
      <c r="X16" s="53" t="s">
        <v>303</v>
      </c>
      <c r="Y16" s="54" t="s">
        <v>302</v>
      </c>
      <c r="Z16" s="53" t="s">
        <v>303</v>
      </c>
      <c r="AA16" s="54" t="s">
        <v>302</v>
      </c>
      <c r="AB16" s="53" t="s">
        <v>303</v>
      </c>
      <c r="AC16" s="54" t="s">
        <v>302</v>
      </c>
      <c r="AD16" s="53" t="s">
        <v>303</v>
      </c>
      <c r="AE16" s="54" t="s">
        <v>302</v>
      </c>
      <c r="AF16" s="53" t="s">
        <v>303</v>
      </c>
      <c r="AG16" s="54" t="s">
        <v>302</v>
      </c>
      <c r="AH16" s="53" t="s">
        <v>303</v>
      </c>
      <c r="AI16" s="54" t="s">
        <v>302</v>
      </c>
      <c r="AJ16" s="53" t="s">
        <v>303</v>
      </c>
      <c r="AK16" s="54" t="s">
        <v>302</v>
      </c>
      <c r="AL16" s="53" t="s">
        <v>303</v>
      </c>
      <c r="AM16" s="54" t="s">
        <v>302</v>
      </c>
      <c r="AN16" s="53" t="s">
        <v>303</v>
      </c>
      <c r="AO16" s="54" t="s">
        <v>302</v>
      </c>
      <c r="AP16" s="53" t="s">
        <v>303</v>
      </c>
      <c r="AQ16" s="54" t="s">
        <v>302</v>
      </c>
      <c r="AR16" s="53" t="s">
        <v>303</v>
      </c>
      <c r="AS16" s="54" t="s">
        <v>302</v>
      </c>
      <c r="AT16" s="53" t="s">
        <v>303</v>
      </c>
      <c r="AU16" s="54" t="s">
        <v>302</v>
      </c>
      <c r="AV16" s="53" t="s">
        <v>303</v>
      </c>
      <c r="AW16" s="54" t="s">
        <v>302</v>
      </c>
      <c r="AX16" s="53" t="s">
        <v>303</v>
      </c>
      <c r="AY16" s="54" t="s">
        <v>302</v>
      </c>
      <c r="AZ16" s="53" t="s">
        <v>303</v>
      </c>
      <c r="BA16" s="54" t="s">
        <v>302</v>
      </c>
      <c r="BB16" s="53" t="s">
        <v>303</v>
      </c>
      <c r="BC16" s="54" t="s">
        <v>302</v>
      </c>
      <c r="BD16" s="53" t="s">
        <v>303</v>
      </c>
      <c r="BE16" s="54" t="s">
        <v>302</v>
      </c>
      <c r="BF16" s="53" t="s">
        <v>303</v>
      </c>
      <c r="BG16" s="54" t="s">
        <v>302</v>
      </c>
      <c r="BH16" s="53" t="s">
        <v>303</v>
      </c>
      <c r="BI16" s="54" t="s">
        <v>302</v>
      </c>
      <c r="BJ16" s="53" t="s">
        <v>303</v>
      </c>
      <c r="BK16" s="54" t="s">
        <v>302</v>
      </c>
      <c r="BL16" s="105" t="s">
        <v>303</v>
      </c>
      <c r="BM16" s="106" t="s">
        <v>302</v>
      </c>
    </row>
    <row r="17" spans="1:65" x14ac:dyDescent="0.25">
      <c r="A17" s="20" t="s">
        <v>285</v>
      </c>
      <c r="B17" s="76"/>
      <c r="C17" s="76"/>
      <c r="D17" s="76"/>
      <c r="E17" s="76"/>
      <c r="F17" s="76"/>
      <c r="G17" s="76"/>
      <c r="H17" s="92">
        <v>2372</v>
      </c>
      <c r="I17" s="92">
        <v>5556</v>
      </c>
      <c r="J17" s="76"/>
      <c r="K17" s="76"/>
      <c r="L17" s="92">
        <v>1612</v>
      </c>
      <c r="M17" s="92">
        <v>3677</v>
      </c>
      <c r="N17" s="76"/>
      <c r="O17" s="76"/>
      <c r="P17" s="91">
        <v>66.52</v>
      </c>
      <c r="Q17" s="91">
        <v>192.39</v>
      </c>
      <c r="R17" s="92">
        <v>1635.72</v>
      </c>
      <c r="S17" s="92">
        <v>3843.45</v>
      </c>
      <c r="T17" s="92">
        <v>127</v>
      </c>
      <c r="U17" s="92">
        <v>159</v>
      </c>
      <c r="V17" s="92">
        <v>2215</v>
      </c>
      <c r="W17" s="92">
        <v>8680</v>
      </c>
      <c r="X17" s="92">
        <v>12990</v>
      </c>
      <c r="Y17" s="92">
        <v>33862</v>
      </c>
      <c r="Z17" s="92">
        <v>4231</v>
      </c>
      <c r="AA17" s="92">
        <v>10133</v>
      </c>
      <c r="AB17" s="92">
        <v>22</v>
      </c>
      <c r="AC17" s="92">
        <v>26</v>
      </c>
      <c r="AD17" s="92">
        <v>928</v>
      </c>
      <c r="AE17" s="92">
        <v>2181</v>
      </c>
      <c r="AF17" s="92">
        <v>454.36</v>
      </c>
      <c r="AG17" s="92">
        <v>963.27</v>
      </c>
      <c r="AH17" s="76"/>
      <c r="AI17" s="76"/>
      <c r="AJ17" s="76"/>
      <c r="AK17" s="76"/>
      <c r="AL17" s="92">
        <v>1575.95</v>
      </c>
      <c r="AM17" s="92">
        <v>7524.36</v>
      </c>
      <c r="AN17" s="76"/>
      <c r="AO17" s="76"/>
      <c r="AP17" s="92">
        <v>0</v>
      </c>
      <c r="AQ17" s="92">
        <v>0</v>
      </c>
      <c r="AR17" s="76">
        <v>3070</v>
      </c>
      <c r="AS17" s="76">
        <v>7598</v>
      </c>
      <c r="AT17" s="92">
        <v>982</v>
      </c>
      <c r="AU17" s="92">
        <v>1970</v>
      </c>
      <c r="AV17" s="92">
        <v>1274</v>
      </c>
      <c r="AW17" s="92">
        <v>2870</v>
      </c>
      <c r="AX17" s="92">
        <v>1</v>
      </c>
      <c r="AY17" s="92">
        <v>28</v>
      </c>
      <c r="AZ17" s="76"/>
      <c r="BA17" s="76"/>
      <c r="BB17" s="92">
        <v>7677</v>
      </c>
      <c r="BC17" s="92">
        <v>20133</v>
      </c>
      <c r="BD17" s="92">
        <v>10977</v>
      </c>
      <c r="BE17" s="92">
        <v>21570</v>
      </c>
      <c r="BF17" s="92">
        <v>6328</v>
      </c>
      <c r="BG17" s="92">
        <v>13775</v>
      </c>
      <c r="BH17" s="92">
        <v>9125</v>
      </c>
      <c r="BI17" s="92">
        <v>17634</v>
      </c>
      <c r="BJ17" s="92">
        <v>1710</v>
      </c>
      <c r="BK17" s="92">
        <v>2251</v>
      </c>
      <c r="BL17" s="68">
        <f t="shared" ref="BL17:BL23" si="2">SUM(B17+D17+F17+H17+J17+L17+N17+P17+R17+T17+V17+X17+Z17+AB17+AD17+AF17+AH17+AJ17+AL17+AN17+AP17+AR17+AT17+AV17+AX17+AZ17+BB17+BD17+BF17+BH17+BJ17)</f>
        <v>69373.55</v>
      </c>
      <c r="BM17" s="68">
        <f t="shared" ref="BM17:BM23" si="3">SUM(C17+E17+G17+I17+K17+M17+O17+Q17+S17+U17+W17+Y17+AA17+AC17+AE17+AG17+AI17+AK17+AM17+AO17+AQ17+AS17+AU17+AW17+AY17+BA17+BC17+BE17+BG17+BI17+BK17)</f>
        <v>164626.47</v>
      </c>
    </row>
    <row r="18" spans="1:65" x14ac:dyDescent="0.25">
      <c r="A18" s="20" t="s">
        <v>286</v>
      </c>
      <c r="B18" s="76"/>
      <c r="C18" s="76"/>
      <c r="D18" s="76"/>
      <c r="E18" s="76"/>
      <c r="F18" s="76"/>
      <c r="G18" s="76"/>
      <c r="H18" s="92"/>
      <c r="I18" s="92"/>
      <c r="J18" s="76"/>
      <c r="K18" s="76"/>
      <c r="L18" s="92"/>
      <c r="M18" s="92"/>
      <c r="N18" s="76"/>
      <c r="O18" s="76"/>
      <c r="P18" s="91"/>
      <c r="Q18" s="91">
        <v>1.34</v>
      </c>
      <c r="R18" s="92">
        <v>18.32</v>
      </c>
      <c r="S18" s="92">
        <v>41.83</v>
      </c>
      <c r="T18" s="92"/>
      <c r="U18" s="92"/>
      <c r="V18" s="92">
        <v>167</v>
      </c>
      <c r="W18" s="92">
        <v>443</v>
      </c>
      <c r="X18" s="92">
        <v>267</v>
      </c>
      <c r="Y18" s="92">
        <v>578</v>
      </c>
      <c r="Z18" s="92">
        <v>0</v>
      </c>
      <c r="AA18" s="92">
        <v>10</v>
      </c>
      <c r="AB18" s="92"/>
      <c r="AC18" s="92"/>
      <c r="AD18" s="92"/>
      <c r="AE18" s="92"/>
      <c r="AF18" s="92">
        <v>162.38999999999999</v>
      </c>
      <c r="AG18" s="92">
        <v>355.32</v>
      </c>
      <c r="AH18" s="76"/>
      <c r="AI18" s="76"/>
      <c r="AJ18" s="76"/>
      <c r="AK18" s="76"/>
      <c r="AL18" s="92">
        <v>-95.46</v>
      </c>
      <c r="AM18" s="92">
        <v>299.37</v>
      </c>
      <c r="AN18" s="76"/>
      <c r="AO18" s="76"/>
      <c r="AP18" s="92"/>
      <c r="AQ18" s="92"/>
      <c r="AR18" s="76">
        <v>80</v>
      </c>
      <c r="AS18" s="76">
        <v>80</v>
      </c>
      <c r="AT18" s="92">
        <v>1</v>
      </c>
      <c r="AU18" s="92">
        <v>1</v>
      </c>
      <c r="AV18" s="92">
        <v>2</v>
      </c>
      <c r="AW18" s="92">
        <v>52</v>
      </c>
      <c r="AX18" s="92"/>
      <c r="AY18" s="92"/>
      <c r="AZ18" s="76"/>
      <c r="BA18" s="76"/>
      <c r="BB18" s="92">
        <v>5</v>
      </c>
      <c r="BC18" s="92">
        <v>117</v>
      </c>
      <c r="BD18" s="92">
        <v>924</v>
      </c>
      <c r="BE18" s="92">
        <v>924</v>
      </c>
      <c r="BF18" s="92">
        <v>71</v>
      </c>
      <c r="BG18" s="92">
        <v>333</v>
      </c>
      <c r="BH18" s="92">
        <v>43</v>
      </c>
      <c r="BI18" s="92">
        <v>466</v>
      </c>
      <c r="BJ18" s="92"/>
      <c r="BK18" s="92"/>
      <c r="BL18" s="68">
        <f t="shared" si="2"/>
        <v>1645.25</v>
      </c>
      <c r="BM18" s="68">
        <f t="shared" si="3"/>
        <v>3701.86</v>
      </c>
    </row>
    <row r="19" spans="1:65" x14ac:dyDescent="0.25">
      <c r="A19" s="20" t="s">
        <v>287</v>
      </c>
      <c r="B19" s="76"/>
      <c r="C19" s="76"/>
      <c r="D19" s="76"/>
      <c r="E19" s="76"/>
      <c r="F19" s="76"/>
      <c r="G19" s="76"/>
      <c r="H19" s="92">
        <v>-663</v>
      </c>
      <c r="I19" s="92">
        <v>-1307</v>
      </c>
      <c r="J19" s="76"/>
      <c r="K19" s="76"/>
      <c r="L19" s="92">
        <v>1098</v>
      </c>
      <c r="M19" s="92">
        <v>2439</v>
      </c>
      <c r="N19" s="76"/>
      <c r="O19" s="76"/>
      <c r="P19" s="91">
        <v>60.64</v>
      </c>
      <c r="Q19" s="91">
        <v>168.69</v>
      </c>
      <c r="R19" s="92">
        <v>227.14</v>
      </c>
      <c r="S19" s="92">
        <v>585.33000000000004</v>
      </c>
      <c r="T19" s="92">
        <v>103</v>
      </c>
      <c r="U19" s="92">
        <v>107</v>
      </c>
      <c r="V19" s="92">
        <v>-424</v>
      </c>
      <c r="W19" s="92">
        <v>-4478</v>
      </c>
      <c r="X19" s="92">
        <v>6333</v>
      </c>
      <c r="Y19" s="92">
        <v>16694</v>
      </c>
      <c r="Z19" s="92">
        <v>1851</v>
      </c>
      <c r="AA19" s="92">
        <v>4458</v>
      </c>
      <c r="AB19" s="92">
        <v>18</v>
      </c>
      <c r="AC19" s="92">
        <v>21</v>
      </c>
      <c r="AD19" s="92">
        <v>58</v>
      </c>
      <c r="AE19" s="92">
        <v>119</v>
      </c>
      <c r="AF19" s="92">
        <v>-547.09</v>
      </c>
      <c r="AG19" s="92">
        <v>-1138.46</v>
      </c>
      <c r="AH19" s="76"/>
      <c r="AI19" s="76"/>
      <c r="AJ19" s="76"/>
      <c r="AK19" s="76"/>
      <c r="AL19" s="92">
        <v>404.47</v>
      </c>
      <c r="AM19" s="92">
        <v>2668.28</v>
      </c>
      <c r="AN19" s="76"/>
      <c r="AO19" s="76"/>
      <c r="AP19" s="92">
        <v>0</v>
      </c>
      <c r="AQ19" s="92">
        <v>0</v>
      </c>
      <c r="AR19" s="76">
        <v>2815</v>
      </c>
      <c r="AS19" s="76">
        <v>6922</v>
      </c>
      <c r="AT19" s="92">
        <v>357</v>
      </c>
      <c r="AU19" s="92">
        <v>817</v>
      </c>
      <c r="AV19" s="92">
        <v>565</v>
      </c>
      <c r="AW19" s="92">
        <v>747</v>
      </c>
      <c r="AX19" s="92">
        <v>1</v>
      </c>
      <c r="AY19" s="92">
        <v>11</v>
      </c>
      <c r="AZ19" s="76"/>
      <c r="BA19" s="76"/>
      <c r="BB19" s="92">
        <v>802</v>
      </c>
      <c r="BC19" s="92">
        <v>2811</v>
      </c>
      <c r="BD19" s="92">
        <v>487</v>
      </c>
      <c r="BE19" s="92">
        <v>7856</v>
      </c>
      <c r="BF19" s="92">
        <v>2319</v>
      </c>
      <c r="BG19" s="92">
        <v>4052</v>
      </c>
      <c r="BH19" s="92">
        <v>5186</v>
      </c>
      <c r="BI19" s="92">
        <v>8317</v>
      </c>
      <c r="BJ19" s="92">
        <v>1596</v>
      </c>
      <c r="BK19" s="92">
        <v>1992</v>
      </c>
      <c r="BL19" s="68">
        <f t="shared" si="2"/>
        <v>22647.159999999996</v>
      </c>
      <c r="BM19" s="68">
        <f t="shared" si="3"/>
        <v>53861.84</v>
      </c>
    </row>
    <row r="20" spans="1:65" s="7" customFormat="1" x14ac:dyDescent="0.25">
      <c r="A20" s="3" t="s">
        <v>288</v>
      </c>
      <c r="B20" s="10"/>
      <c r="C20" s="10"/>
      <c r="D20" s="10"/>
      <c r="E20" s="10"/>
      <c r="F20" s="10"/>
      <c r="G20" s="10"/>
      <c r="H20" s="10">
        <v>1709</v>
      </c>
      <c r="I20" s="10">
        <v>4249</v>
      </c>
      <c r="J20" s="10"/>
      <c r="K20" s="10"/>
      <c r="L20" s="10">
        <v>514</v>
      </c>
      <c r="M20" s="10">
        <v>1238</v>
      </c>
      <c r="N20" s="10"/>
      <c r="O20" s="10"/>
      <c r="P20" s="131">
        <v>5.88</v>
      </c>
      <c r="Q20" s="131">
        <v>25.04</v>
      </c>
      <c r="R20" s="10">
        <v>1426.91</v>
      </c>
      <c r="S20" s="10">
        <v>3299.95</v>
      </c>
      <c r="T20" s="10">
        <v>24</v>
      </c>
      <c r="U20" s="10">
        <v>52</v>
      </c>
      <c r="V20" s="10">
        <v>1958</v>
      </c>
      <c r="W20" s="10">
        <v>4645</v>
      </c>
      <c r="X20" s="10">
        <v>6924</v>
      </c>
      <c r="Y20" s="10">
        <v>17746</v>
      </c>
      <c r="Z20" s="10">
        <v>2380</v>
      </c>
      <c r="AA20" s="10">
        <v>5685</v>
      </c>
      <c r="AB20" s="10">
        <v>4</v>
      </c>
      <c r="AC20" s="10">
        <v>5</v>
      </c>
      <c r="AD20" s="10">
        <v>869</v>
      </c>
      <c r="AE20" s="10">
        <v>2062</v>
      </c>
      <c r="AF20" s="10">
        <v>69.66</v>
      </c>
      <c r="AG20" s="10">
        <v>180.13</v>
      </c>
      <c r="AH20" s="10"/>
      <c r="AI20" s="10"/>
      <c r="AJ20" s="10"/>
      <c r="AK20" s="10"/>
      <c r="AL20" s="10">
        <v>1076.02</v>
      </c>
      <c r="AM20" s="10">
        <v>5155.45</v>
      </c>
      <c r="AN20" s="10"/>
      <c r="AO20" s="10"/>
      <c r="AP20" s="10">
        <v>0</v>
      </c>
      <c r="AQ20" s="10">
        <v>0</v>
      </c>
      <c r="AR20" s="10">
        <v>335</v>
      </c>
      <c r="AS20" s="10">
        <v>755</v>
      </c>
      <c r="AT20" s="10">
        <v>626</v>
      </c>
      <c r="AU20" s="10">
        <v>1155</v>
      </c>
      <c r="AV20" s="10">
        <v>711</v>
      </c>
      <c r="AW20" s="10">
        <v>2176</v>
      </c>
      <c r="AX20" s="10">
        <v>0</v>
      </c>
      <c r="AY20" s="10">
        <v>17</v>
      </c>
      <c r="AZ20" s="10"/>
      <c r="BA20" s="10"/>
      <c r="BB20" s="10">
        <v>6880</v>
      </c>
      <c r="BC20" s="10">
        <v>17440</v>
      </c>
      <c r="BD20" s="10">
        <v>11414</v>
      </c>
      <c r="BE20" s="10">
        <v>14638</v>
      </c>
      <c r="BF20" s="10">
        <v>4081</v>
      </c>
      <c r="BG20" s="10">
        <v>10056</v>
      </c>
      <c r="BH20" s="10">
        <v>3983</v>
      </c>
      <c r="BI20" s="10">
        <v>9782</v>
      </c>
      <c r="BJ20" s="10">
        <v>114</v>
      </c>
      <c r="BK20" s="10">
        <v>259</v>
      </c>
      <c r="BL20" s="63">
        <f t="shared" si="2"/>
        <v>45104.47</v>
      </c>
      <c r="BM20" s="63">
        <f t="shared" si="3"/>
        <v>100620.56999999999</v>
      </c>
    </row>
    <row r="21" spans="1:65" x14ac:dyDescent="0.25">
      <c r="A21" s="20" t="s">
        <v>289</v>
      </c>
      <c r="B21" s="76"/>
      <c r="C21" s="76"/>
      <c r="D21" s="76"/>
      <c r="E21" s="76"/>
      <c r="F21" s="76"/>
      <c r="G21" s="76"/>
      <c r="H21" s="92">
        <v>9551</v>
      </c>
      <c r="I21" s="92">
        <v>9551</v>
      </c>
      <c r="J21" s="76"/>
      <c r="K21" s="76"/>
      <c r="L21" s="92">
        <v>1646</v>
      </c>
      <c r="M21" s="92">
        <v>1646</v>
      </c>
      <c r="N21" s="76"/>
      <c r="O21" s="76"/>
      <c r="P21" s="91">
        <v>66.510000000000005</v>
      </c>
      <c r="Q21" s="91">
        <v>66.510000000000005</v>
      </c>
      <c r="R21" s="92">
        <v>3725.44</v>
      </c>
      <c r="S21" s="92">
        <v>3725.44</v>
      </c>
      <c r="T21" s="92">
        <v>60</v>
      </c>
      <c r="U21" s="92">
        <v>60</v>
      </c>
      <c r="V21" s="92">
        <v>7346</v>
      </c>
      <c r="W21" s="92">
        <v>7346</v>
      </c>
      <c r="X21" s="92">
        <v>25381</v>
      </c>
      <c r="Y21" s="92">
        <v>25381</v>
      </c>
      <c r="Z21" s="92">
        <v>772</v>
      </c>
      <c r="AA21" s="92">
        <v>6876</v>
      </c>
      <c r="AB21" s="92">
        <v>4</v>
      </c>
      <c r="AC21" s="92">
        <v>4</v>
      </c>
      <c r="AD21" s="92">
        <v>903</v>
      </c>
      <c r="AE21" s="92">
        <v>903</v>
      </c>
      <c r="AF21" s="92">
        <v>466.19</v>
      </c>
      <c r="AG21" s="92">
        <v>466.19</v>
      </c>
      <c r="AH21" s="76"/>
      <c r="AI21" s="76"/>
      <c r="AJ21" s="76"/>
      <c r="AK21" s="76"/>
      <c r="AL21" s="92">
        <v>23372.35</v>
      </c>
      <c r="AM21" s="92">
        <v>23372.35</v>
      </c>
      <c r="AN21" s="76"/>
      <c r="AO21" s="76"/>
      <c r="AP21" s="92">
        <v>8</v>
      </c>
      <c r="AQ21" s="92">
        <v>8</v>
      </c>
      <c r="AR21" s="76">
        <v>3222</v>
      </c>
      <c r="AS21" s="76">
        <v>3222</v>
      </c>
      <c r="AT21" s="92">
        <v>1613</v>
      </c>
      <c r="AU21" s="92">
        <v>1613</v>
      </c>
      <c r="AV21" s="92">
        <v>4861</v>
      </c>
      <c r="AW21" s="92">
        <v>4861</v>
      </c>
      <c r="AX21" s="92">
        <v>81</v>
      </c>
      <c r="AY21" s="92">
        <v>81</v>
      </c>
      <c r="AZ21" s="76"/>
      <c r="BA21" s="76"/>
      <c r="BB21" s="92">
        <v>32596</v>
      </c>
      <c r="BC21" s="92">
        <v>32596</v>
      </c>
      <c r="BD21" s="92">
        <v>51510</v>
      </c>
      <c r="BE21" s="92">
        <v>51510</v>
      </c>
      <c r="BF21" s="92">
        <v>-1880</v>
      </c>
      <c r="BG21" s="92">
        <v>26523</v>
      </c>
      <c r="BH21" s="92">
        <v>33863</v>
      </c>
      <c r="BI21" s="92">
        <v>33863</v>
      </c>
      <c r="BJ21" s="92">
        <v>16</v>
      </c>
      <c r="BK21" s="92">
        <v>463</v>
      </c>
      <c r="BL21" s="68">
        <f t="shared" si="2"/>
        <v>199183.49</v>
      </c>
      <c r="BM21" s="68">
        <f t="shared" si="3"/>
        <v>234137.49</v>
      </c>
    </row>
    <row r="22" spans="1:65" ht="15" customHeight="1" x14ac:dyDescent="0.25">
      <c r="A22" s="20" t="s">
        <v>290</v>
      </c>
      <c r="B22" s="76"/>
      <c r="C22" s="76"/>
      <c r="D22" s="76"/>
      <c r="E22" s="76"/>
      <c r="F22" s="76"/>
      <c r="G22" s="76"/>
      <c r="H22" s="92">
        <v>8935</v>
      </c>
      <c r="I22" s="92">
        <v>7596</v>
      </c>
      <c r="J22" s="76"/>
      <c r="K22" s="76"/>
      <c r="L22" s="92">
        <v>1689</v>
      </c>
      <c r="M22" s="92">
        <v>1005</v>
      </c>
      <c r="N22" s="76"/>
      <c r="O22" s="76"/>
      <c r="P22" s="91">
        <v>66.760000000000005</v>
      </c>
      <c r="Q22" s="91">
        <v>37.950000000000003</v>
      </c>
      <c r="R22" s="92">
        <v>3485.25</v>
      </c>
      <c r="S22" s="92">
        <v>4044.61</v>
      </c>
      <c r="T22" s="92">
        <v>89</v>
      </c>
      <c r="U22" s="92">
        <v>66</v>
      </c>
      <c r="V22" s="92">
        <v>-6551</v>
      </c>
      <c r="W22" s="92">
        <v>-4172</v>
      </c>
      <c r="X22" s="92">
        <v>25976</v>
      </c>
      <c r="Y22" s="92">
        <v>17308</v>
      </c>
      <c r="Z22" s="92">
        <v>0</v>
      </c>
      <c r="AA22" s="92">
        <v>4127</v>
      </c>
      <c r="AB22" s="92">
        <v>3</v>
      </c>
      <c r="AC22" s="92">
        <v>0.14000000000000001</v>
      </c>
      <c r="AD22" s="92">
        <v>900</v>
      </c>
      <c r="AE22" s="92">
        <v>633</v>
      </c>
      <c r="AF22" s="92">
        <v>-547.01</v>
      </c>
      <c r="AG22" s="92">
        <v>-629.24</v>
      </c>
      <c r="AH22" s="76"/>
      <c r="AI22" s="76"/>
      <c r="AJ22" s="76"/>
      <c r="AK22" s="76"/>
      <c r="AL22" s="92">
        <v>23202.27</v>
      </c>
      <c r="AM22" s="92">
        <v>20357.36</v>
      </c>
      <c r="AN22" s="76"/>
      <c r="AO22" s="76"/>
      <c r="AP22" s="92">
        <v>7</v>
      </c>
      <c r="AQ22" s="92">
        <v>7</v>
      </c>
      <c r="AR22" s="76">
        <v>3065</v>
      </c>
      <c r="AS22" s="76">
        <v>2546</v>
      </c>
      <c r="AT22" s="92">
        <v>1719</v>
      </c>
      <c r="AU22" s="92">
        <v>1487</v>
      </c>
      <c r="AV22" s="92">
        <v>3564</v>
      </c>
      <c r="AW22" s="92">
        <v>2856</v>
      </c>
      <c r="AX22" s="92">
        <v>85</v>
      </c>
      <c r="AY22" s="92">
        <v>87</v>
      </c>
      <c r="AZ22" s="76"/>
      <c r="BA22" s="76"/>
      <c r="BB22" s="92">
        <v>27269</v>
      </c>
      <c r="BC22" s="92">
        <v>20614</v>
      </c>
      <c r="BD22" s="92">
        <v>53038</v>
      </c>
      <c r="BE22" s="92">
        <v>43120</v>
      </c>
      <c r="BF22" s="92">
        <v>0</v>
      </c>
      <c r="BG22" s="92">
        <v>23951</v>
      </c>
      <c r="BH22" s="92">
        <v>33837</v>
      </c>
      <c r="BI22" s="92">
        <v>29088</v>
      </c>
      <c r="BJ22" s="92"/>
      <c r="BK22" s="92">
        <v>383</v>
      </c>
      <c r="BL22" s="68">
        <f t="shared" si="2"/>
        <v>179832.27000000002</v>
      </c>
      <c r="BM22" s="68">
        <f t="shared" si="3"/>
        <v>174512.82</v>
      </c>
    </row>
    <row r="23" spans="1:65" s="7" customFormat="1" x14ac:dyDescent="0.25">
      <c r="A23" s="3" t="s">
        <v>291</v>
      </c>
      <c r="B23" s="10"/>
      <c r="C23" s="10"/>
      <c r="D23" s="10"/>
      <c r="E23" s="10"/>
      <c r="F23" s="10"/>
      <c r="G23" s="10"/>
      <c r="H23" s="10">
        <v>2324</v>
      </c>
      <c r="I23" s="10">
        <v>6204</v>
      </c>
      <c r="J23" s="10"/>
      <c r="K23" s="10"/>
      <c r="L23" s="10">
        <v>471</v>
      </c>
      <c r="M23" s="10">
        <v>1879</v>
      </c>
      <c r="N23" s="10"/>
      <c r="O23" s="10"/>
      <c r="P23" s="131">
        <v>5.63</v>
      </c>
      <c r="Q23" s="131">
        <v>53.6</v>
      </c>
      <c r="R23" s="10">
        <v>1667.1</v>
      </c>
      <c r="S23" s="10">
        <v>2980.78</v>
      </c>
      <c r="T23" s="10">
        <v>-5</v>
      </c>
      <c r="U23" s="10">
        <v>46</v>
      </c>
      <c r="V23" s="10">
        <v>2753</v>
      </c>
      <c r="W23" s="10">
        <v>7820</v>
      </c>
      <c r="X23" s="10">
        <v>6329</v>
      </c>
      <c r="Y23" s="10">
        <v>21692</v>
      </c>
      <c r="Z23" s="10">
        <v>3151</v>
      </c>
      <c r="AA23" s="10">
        <v>8434</v>
      </c>
      <c r="AB23" s="10">
        <v>5</v>
      </c>
      <c r="AC23" s="10">
        <v>9</v>
      </c>
      <c r="AD23" s="10">
        <v>872</v>
      </c>
      <c r="AE23" s="10">
        <v>2332</v>
      </c>
      <c r="AF23" s="10">
        <v>-11.16</v>
      </c>
      <c r="AG23" s="10">
        <v>17.079999999999998</v>
      </c>
      <c r="AH23" s="10"/>
      <c r="AI23" s="10"/>
      <c r="AJ23" s="10"/>
      <c r="AK23" s="10"/>
      <c r="AL23" s="10">
        <v>1246.0999999999999</v>
      </c>
      <c r="AM23" s="10">
        <v>8170.44</v>
      </c>
      <c r="AN23" s="10"/>
      <c r="AO23" s="10"/>
      <c r="AP23" s="10">
        <v>0</v>
      </c>
      <c r="AQ23" s="10">
        <v>1</v>
      </c>
      <c r="AR23" s="10">
        <v>492</v>
      </c>
      <c r="AS23" s="10">
        <v>1432</v>
      </c>
      <c r="AT23" s="10">
        <v>519</v>
      </c>
      <c r="AU23" s="10">
        <v>1281</v>
      </c>
      <c r="AV23" s="10">
        <v>2008</v>
      </c>
      <c r="AW23" s="10">
        <v>4180</v>
      </c>
      <c r="AX23" s="10">
        <v>-3</v>
      </c>
      <c r="AY23" s="10">
        <v>11</v>
      </c>
      <c r="AZ23" s="10"/>
      <c r="BA23" s="10"/>
      <c r="BB23" s="10">
        <v>12207</v>
      </c>
      <c r="BC23" s="10">
        <v>29422</v>
      </c>
      <c r="BD23" s="10">
        <v>9887</v>
      </c>
      <c r="BE23" s="10">
        <v>23028</v>
      </c>
      <c r="BF23" s="10">
        <v>2201</v>
      </c>
      <c r="BG23" s="10">
        <v>12628</v>
      </c>
      <c r="BH23" s="10">
        <v>4008</v>
      </c>
      <c r="BI23" s="10">
        <v>14557</v>
      </c>
      <c r="BJ23" s="10">
        <v>130</v>
      </c>
      <c r="BK23" s="10">
        <v>339</v>
      </c>
      <c r="BL23" s="63">
        <f t="shared" si="2"/>
        <v>50256.67</v>
      </c>
      <c r="BM23" s="63">
        <f t="shared" si="3"/>
        <v>146516.90000000002</v>
      </c>
    </row>
    <row r="24" spans="1:65" x14ac:dyDescent="0.25">
      <c r="A24" s="13"/>
    </row>
    <row r="25" spans="1:65" x14ac:dyDescent="0.25">
      <c r="A25" s="27" t="s">
        <v>184</v>
      </c>
    </row>
    <row r="26" spans="1:65" x14ac:dyDescent="0.25">
      <c r="A26" s="3" t="s">
        <v>0</v>
      </c>
      <c r="B26" s="153" t="s">
        <v>1</v>
      </c>
      <c r="C26" s="154"/>
      <c r="D26" s="153" t="s">
        <v>234</v>
      </c>
      <c r="E26" s="154"/>
      <c r="F26" s="153" t="s">
        <v>2</v>
      </c>
      <c r="G26" s="154"/>
      <c r="H26" s="153" t="s">
        <v>3</v>
      </c>
      <c r="I26" s="154"/>
      <c r="J26" s="153" t="s">
        <v>243</v>
      </c>
      <c r="K26" s="154"/>
      <c r="L26" s="153" t="s">
        <v>235</v>
      </c>
      <c r="M26" s="154"/>
      <c r="N26" s="153" t="s">
        <v>5</v>
      </c>
      <c r="O26" s="154"/>
      <c r="P26" s="153" t="s">
        <v>4</v>
      </c>
      <c r="Q26" s="154"/>
      <c r="R26" s="153" t="s">
        <v>6</v>
      </c>
      <c r="S26" s="154"/>
      <c r="T26" s="153" t="s">
        <v>246</v>
      </c>
      <c r="U26" s="154"/>
      <c r="V26" s="153" t="s">
        <v>7</v>
      </c>
      <c r="W26" s="154"/>
      <c r="X26" s="153" t="s">
        <v>8</v>
      </c>
      <c r="Y26" s="154"/>
      <c r="Z26" s="153" t="s">
        <v>9</v>
      </c>
      <c r="AA26" s="154"/>
      <c r="AB26" s="153" t="s">
        <v>242</v>
      </c>
      <c r="AC26" s="154"/>
      <c r="AD26" s="153" t="s">
        <v>10</v>
      </c>
      <c r="AE26" s="154"/>
      <c r="AF26" s="153" t="s">
        <v>11</v>
      </c>
      <c r="AG26" s="154"/>
      <c r="AH26" s="153" t="s">
        <v>236</v>
      </c>
      <c r="AI26" s="154"/>
      <c r="AJ26" s="153" t="s">
        <v>245</v>
      </c>
      <c r="AK26" s="154"/>
      <c r="AL26" s="153" t="s">
        <v>12</v>
      </c>
      <c r="AM26" s="154"/>
      <c r="AN26" s="153" t="s">
        <v>237</v>
      </c>
      <c r="AO26" s="154"/>
      <c r="AP26" s="153" t="s">
        <v>238</v>
      </c>
      <c r="AQ26" s="154"/>
      <c r="AR26" s="153" t="s">
        <v>241</v>
      </c>
      <c r="AS26" s="154"/>
      <c r="AT26" s="153" t="s">
        <v>13</v>
      </c>
      <c r="AU26" s="154"/>
      <c r="AV26" s="153" t="s">
        <v>14</v>
      </c>
      <c r="AW26" s="154"/>
      <c r="AX26" s="153" t="s">
        <v>15</v>
      </c>
      <c r="AY26" s="154"/>
      <c r="AZ26" s="153" t="s">
        <v>16</v>
      </c>
      <c r="BA26" s="154"/>
      <c r="BB26" s="153" t="s">
        <v>17</v>
      </c>
      <c r="BC26" s="154"/>
      <c r="BD26" s="153" t="s">
        <v>239</v>
      </c>
      <c r="BE26" s="154"/>
      <c r="BF26" s="153" t="s">
        <v>240</v>
      </c>
      <c r="BG26" s="154"/>
      <c r="BH26" s="153" t="s">
        <v>18</v>
      </c>
      <c r="BI26" s="154"/>
      <c r="BJ26" s="153" t="s">
        <v>19</v>
      </c>
      <c r="BK26" s="154"/>
      <c r="BL26" s="155" t="s">
        <v>20</v>
      </c>
      <c r="BM26" s="156"/>
    </row>
    <row r="27" spans="1:65" ht="30" x14ac:dyDescent="0.25">
      <c r="A27" s="3"/>
      <c r="B27" s="53" t="s">
        <v>303</v>
      </c>
      <c r="C27" s="54" t="s">
        <v>302</v>
      </c>
      <c r="D27" s="53" t="s">
        <v>303</v>
      </c>
      <c r="E27" s="54" t="s">
        <v>302</v>
      </c>
      <c r="F27" s="53" t="s">
        <v>303</v>
      </c>
      <c r="G27" s="54" t="s">
        <v>302</v>
      </c>
      <c r="H27" s="53" t="s">
        <v>303</v>
      </c>
      <c r="I27" s="54" t="s">
        <v>302</v>
      </c>
      <c r="J27" s="53" t="s">
        <v>303</v>
      </c>
      <c r="K27" s="54" t="s">
        <v>302</v>
      </c>
      <c r="L27" s="53" t="s">
        <v>303</v>
      </c>
      <c r="M27" s="54" t="s">
        <v>302</v>
      </c>
      <c r="N27" s="53" t="s">
        <v>303</v>
      </c>
      <c r="O27" s="54" t="s">
        <v>302</v>
      </c>
      <c r="P27" s="53" t="s">
        <v>303</v>
      </c>
      <c r="Q27" s="54" t="s">
        <v>302</v>
      </c>
      <c r="R27" s="53" t="s">
        <v>303</v>
      </c>
      <c r="S27" s="54" t="s">
        <v>302</v>
      </c>
      <c r="T27" s="53" t="s">
        <v>303</v>
      </c>
      <c r="U27" s="54" t="s">
        <v>302</v>
      </c>
      <c r="V27" s="53" t="s">
        <v>303</v>
      </c>
      <c r="W27" s="54" t="s">
        <v>302</v>
      </c>
      <c r="X27" s="53" t="s">
        <v>303</v>
      </c>
      <c r="Y27" s="54" t="s">
        <v>302</v>
      </c>
      <c r="Z27" s="53" t="s">
        <v>303</v>
      </c>
      <c r="AA27" s="54" t="s">
        <v>302</v>
      </c>
      <c r="AB27" s="53" t="s">
        <v>303</v>
      </c>
      <c r="AC27" s="54" t="s">
        <v>302</v>
      </c>
      <c r="AD27" s="53" t="s">
        <v>303</v>
      </c>
      <c r="AE27" s="54" t="s">
        <v>302</v>
      </c>
      <c r="AF27" s="53" t="s">
        <v>303</v>
      </c>
      <c r="AG27" s="54" t="s">
        <v>302</v>
      </c>
      <c r="AH27" s="53" t="s">
        <v>303</v>
      </c>
      <c r="AI27" s="54" t="s">
        <v>302</v>
      </c>
      <c r="AJ27" s="53" t="s">
        <v>303</v>
      </c>
      <c r="AK27" s="54" t="s">
        <v>302</v>
      </c>
      <c r="AL27" s="53" t="s">
        <v>303</v>
      </c>
      <c r="AM27" s="54" t="s">
        <v>302</v>
      </c>
      <c r="AN27" s="53" t="s">
        <v>303</v>
      </c>
      <c r="AO27" s="54" t="s">
        <v>302</v>
      </c>
      <c r="AP27" s="53" t="s">
        <v>303</v>
      </c>
      <c r="AQ27" s="54" t="s">
        <v>302</v>
      </c>
      <c r="AR27" s="53" t="s">
        <v>303</v>
      </c>
      <c r="AS27" s="54" t="s">
        <v>302</v>
      </c>
      <c r="AT27" s="53" t="s">
        <v>303</v>
      </c>
      <c r="AU27" s="54" t="s">
        <v>302</v>
      </c>
      <c r="AV27" s="53" t="s">
        <v>303</v>
      </c>
      <c r="AW27" s="54" t="s">
        <v>302</v>
      </c>
      <c r="AX27" s="53" t="s">
        <v>303</v>
      </c>
      <c r="AY27" s="54" t="s">
        <v>302</v>
      </c>
      <c r="AZ27" s="53" t="s">
        <v>303</v>
      </c>
      <c r="BA27" s="54" t="s">
        <v>302</v>
      </c>
      <c r="BB27" s="53" t="s">
        <v>303</v>
      </c>
      <c r="BC27" s="54" t="s">
        <v>302</v>
      </c>
      <c r="BD27" s="53" t="s">
        <v>303</v>
      </c>
      <c r="BE27" s="54" t="s">
        <v>302</v>
      </c>
      <c r="BF27" s="53" t="s">
        <v>303</v>
      </c>
      <c r="BG27" s="54" t="s">
        <v>302</v>
      </c>
      <c r="BH27" s="53" t="s">
        <v>303</v>
      </c>
      <c r="BI27" s="54" t="s">
        <v>302</v>
      </c>
      <c r="BJ27" s="53" t="s">
        <v>303</v>
      </c>
      <c r="BK27" s="54" t="s">
        <v>302</v>
      </c>
      <c r="BL27" s="105" t="s">
        <v>303</v>
      </c>
      <c r="BM27" s="106" t="s">
        <v>302</v>
      </c>
    </row>
    <row r="28" spans="1:65" x14ac:dyDescent="0.25">
      <c r="A28" s="20" t="s">
        <v>285</v>
      </c>
      <c r="B28" s="92">
        <v>4176</v>
      </c>
      <c r="C28" s="92">
        <v>9254</v>
      </c>
      <c r="D28" s="76"/>
      <c r="E28" s="76"/>
      <c r="F28" s="76"/>
      <c r="G28" s="76"/>
      <c r="H28" s="92">
        <v>66811</v>
      </c>
      <c r="I28" s="92">
        <v>161668</v>
      </c>
      <c r="J28" s="76"/>
      <c r="K28" s="76"/>
      <c r="L28" s="92">
        <v>39597</v>
      </c>
      <c r="M28" s="92">
        <v>107619</v>
      </c>
      <c r="N28" s="76"/>
      <c r="O28" s="76"/>
      <c r="P28" s="91">
        <v>2502.0500000000002</v>
      </c>
      <c r="Q28" s="91">
        <v>5497.4</v>
      </c>
      <c r="R28" s="92">
        <v>23563.29</v>
      </c>
      <c r="S28" s="92">
        <v>58723.12</v>
      </c>
      <c r="T28" s="92">
        <v>15636</v>
      </c>
      <c r="U28" s="92">
        <v>9819</v>
      </c>
      <c r="V28" s="92">
        <v>41769</v>
      </c>
      <c r="W28" s="92">
        <v>107054</v>
      </c>
      <c r="X28" s="92">
        <v>110101</v>
      </c>
      <c r="Y28" s="92">
        <v>306085</v>
      </c>
      <c r="Z28" s="92">
        <v>58090</v>
      </c>
      <c r="AA28" s="92">
        <v>158576</v>
      </c>
      <c r="AB28" s="92">
        <v>4014</v>
      </c>
      <c r="AC28" s="92">
        <v>9638</v>
      </c>
      <c r="AD28" s="92">
        <v>11673</v>
      </c>
      <c r="AE28" s="92">
        <v>30444</v>
      </c>
      <c r="AF28" s="92">
        <v>11087.19</v>
      </c>
      <c r="AG28" s="92">
        <v>23811.11</v>
      </c>
      <c r="AH28" s="76"/>
      <c r="AI28" s="76"/>
      <c r="AJ28" s="76"/>
      <c r="AK28" s="76"/>
      <c r="AL28" s="92">
        <v>105874.46</v>
      </c>
      <c r="AM28" s="92">
        <v>254962.77</v>
      </c>
      <c r="AN28" s="92">
        <v>408</v>
      </c>
      <c r="AO28" s="92">
        <v>1252</v>
      </c>
      <c r="AP28" s="92">
        <v>4780</v>
      </c>
      <c r="AQ28" s="92">
        <v>10631</v>
      </c>
      <c r="AR28" s="76">
        <v>42688</v>
      </c>
      <c r="AS28" s="76">
        <v>113203</v>
      </c>
      <c r="AT28" s="92">
        <v>31640</v>
      </c>
      <c r="AU28" s="92">
        <v>81253</v>
      </c>
      <c r="AV28" s="92">
        <v>23678</v>
      </c>
      <c r="AW28" s="92">
        <v>90490</v>
      </c>
      <c r="AX28" s="92">
        <v>33185</v>
      </c>
      <c r="AY28" s="92">
        <v>72698</v>
      </c>
      <c r="AZ28" s="76"/>
      <c r="BA28" s="76"/>
      <c r="BB28" s="92">
        <v>57959</v>
      </c>
      <c r="BC28" s="92">
        <v>141573</v>
      </c>
      <c r="BD28" s="92">
        <v>185158</v>
      </c>
      <c r="BE28" s="92">
        <v>467097</v>
      </c>
      <c r="BF28" s="92">
        <v>63711</v>
      </c>
      <c r="BG28" s="92">
        <v>157918</v>
      </c>
      <c r="BH28" s="92">
        <v>96282</v>
      </c>
      <c r="BI28" s="92">
        <v>234667</v>
      </c>
      <c r="BJ28" s="92">
        <v>18870</v>
      </c>
      <c r="BK28" s="92">
        <v>39636</v>
      </c>
      <c r="BL28" s="68">
        <f t="shared" ref="BL28:BL34" si="4">SUM(B28+D28+F28+H28+J28+L28+N28+P28+R28+T28+V28+X28+Z28+AB28+AD28+AF28+AH28+AJ28+AL28+AN28+AP28+AR28+AT28+AV28+AX28+AZ28+BB28+BD28+BF28+BH28+BJ28)</f>
        <v>1053252.99</v>
      </c>
      <c r="BM28" s="68">
        <f t="shared" ref="BM28:BM34" si="5">SUM(C28+E28+G28+I28+K28+M28+O28+Q28+S28+U28+W28+Y28+AA28+AC28+AE28+AG28+AI28+AK28+AM28+AO28+AQ28+AS28+AU28+AW28+AY28+BA28+BC28+BE28+BG28+BI28+BK28)</f>
        <v>2653569.4</v>
      </c>
    </row>
    <row r="29" spans="1:65" x14ac:dyDescent="0.25">
      <c r="A29" s="20" t="s">
        <v>286</v>
      </c>
      <c r="B29" s="92"/>
      <c r="C29" s="92"/>
      <c r="D29" s="76"/>
      <c r="E29" s="76"/>
      <c r="F29" s="76"/>
      <c r="G29" s="76"/>
      <c r="H29" s="92"/>
      <c r="I29" s="92"/>
      <c r="J29" s="76"/>
      <c r="K29" s="76"/>
      <c r="L29" s="92"/>
      <c r="M29" s="92"/>
      <c r="N29" s="76"/>
      <c r="O29" s="76"/>
      <c r="P29" s="91"/>
      <c r="Q29" s="91"/>
      <c r="R29" s="92"/>
      <c r="S29" s="92"/>
      <c r="T29" s="92">
        <v>1703</v>
      </c>
      <c r="U29" s="92">
        <v>27630</v>
      </c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76"/>
      <c r="AI29" s="76"/>
      <c r="AJ29" s="76"/>
      <c r="AK29" s="76"/>
      <c r="AL29" s="92">
        <v>0.31</v>
      </c>
      <c r="AM29" s="92">
        <v>1.41</v>
      </c>
      <c r="AN29" s="92"/>
      <c r="AO29" s="92"/>
      <c r="AP29" s="92"/>
      <c r="AQ29" s="92"/>
      <c r="AR29" s="76"/>
      <c r="AS29" s="76"/>
      <c r="AT29" s="92"/>
      <c r="AU29" s="92"/>
      <c r="AV29" s="92"/>
      <c r="AW29" s="92"/>
      <c r="AX29" s="92"/>
      <c r="AY29" s="92"/>
      <c r="AZ29" s="76"/>
      <c r="BA29" s="76"/>
      <c r="BB29" s="92">
        <v>30</v>
      </c>
      <c r="BC29" s="92">
        <v>84</v>
      </c>
      <c r="BD29" s="92">
        <v>693</v>
      </c>
      <c r="BE29" s="92">
        <v>693</v>
      </c>
      <c r="BF29" s="92">
        <v>1</v>
      </c>
      <c r="BG29" s="92">
        <v>15</v>
      </c>
      <c r="BH29" s="92">
        <v>0</v>
      </c>
      <c r="BI29" s="92">
        <v>0</v>
      </c>
      <c r="BJ29" s="92"/>
      <c r="BK29" s="92"/>
      <c r="BL29" s="68">
        <f t="shared" si="4"/>
        <v>2427.31</v>
      </c>
      <c r="BM29" s="68">
        <f t="shared" si="5"/>
        <v>28423.41</v>
      </c>
    </row>
    <row r="30" spans="1:65" x14ac:dyDescent="0.25">
      <c r="A30" s="20" t="s">
        <v>287</v>
      </c>
      <c r="B30" s="92">
        <v>2685</v>
      </c>
      <c r="C30" s="92">
        <v>5952</v>
      </c>
      <c r="D30" s="76"/>
      <c r="E30" s="76"/>
      <c r="F30" s="76"/>
      <c r="G30" s="76"/>
      <c r="H30" s="92">
        <v>-7188</v>
      </c>
      <c r="I30" s="92">
        <v>-17535</v>
      </c>
      <c r="J30" s="76"/>
      <c r="K30" s="76"/>
      <c r="L30" s="92">
        <v>8642</v>
      </c>
      <c r="M30" s="92">
        <v>22278</v>
      </c>
      <c r="N30" s="76"/>
      <c r="O30" s="76"/>
      <c r="P30" s="91">
        <v>285.92</v>
      </c>
      <c r="Q30" s="91">
        <v>435.69</v>
      </c>
      <c r="R30" s="92">
        <v>771.55</v>
      </c>
      <c r="S30" s="92">
        <v>3226.84</v>
      </c>
      <c r="T30" s="92">
        <v>1113</v>
      </c>
      <c r="U30" s="92">
        <v>2711</v>
      </c>
      <c r="V30" s="92">
        <v>-2597</v>
      </c>
      <c r="W30" s="92">
        <v>-39955</v>
      </c>
      <c r="X30" s="92">
        <v>8800</v>
      </c>
      <c r="Y30" s="92">
        <v>23892</v>
      </c>
      <c r="Z30" s="92">
        <v>9941</v>
      </c>
      <c r="AA30" s="92">
        <v>29151</v>
      </c>
      <c r="AB30" s="92">
        <v>619</v>
      </c>
      <c r="AC30" s="92">
        <v>1058</v>
      </c>
      <c r="AD30" s="92">
        <v>570</v>
      </c>
      <c r="AE30" s="92">
        <v>1482</v>
      </c>
      <c r="AF30" s="92">
        <v>-4491.29</v>
      </c>
      <c r="AG30" s="92">
        <v>-10870.48</v>
      </c>
      <c r="AH30" s="76"/>
      <c r="AI30" s="76"/>
      <c r="AJ30" s="76"/>
      <c r="AK30" s="76"/>
      <c r="AL30" s="92">
        <v>10574.18</v>
      </c>
      <c r="AM30" s="92">
        <v>26072.38</v>
      </c>
      <c r="AN30" s="92">
        <v>-20</v>
      </c>
      <c r="AO30" s="92">
        <v>-63</v>
      </c>
      <c r="AP30" s="92">
        <v>239</v>
      </c>
      <c r="AQ30" s="92">
        <v>532</v>
      </c>
      <c r="AR30" s="76">
        <v>10966</v>
      </c>
      <c r="AS30" s="76">
        <v>27432</v>
      </c>
      <c r="AT30" s="92">
        <v>5959</v>
      </c>
      <c r="AU30" s="92">
        <v>15630</v>
      </c>
      <c r="AV30" s="92">
        <v>5021</v>
      </c>
      <c r="AW30" s="92">
        <v>44817</v>
      </c>
      <c r="AX30" s="92">
        <v>2041</v>
      </c>
      <c r="AY30" s="92">
        <v>4354</v>
      </c>
      <c r="AZ30" s="76"/>
      <c r="BA30" s="76"/>
      <c r="BB30" s="92">
        <v>12388</v>
      </c>
      <c r="BC30" s="92">
        <v>31938</v>
      </c>
      <c r="BD30" s="92">
        <v>452</v>
      </c>
      <c r="BE30" s="92">
        <v>23167</v>
      </c>
      <c r="BF30" s="92">
        <v>4314</v>
      </c>
      <c r="BG30" s="92">
        <v>9566</v>
      </c>
      <c r="BH30" s="92">
        <v>5139</v>
      </c>
      <c r="BI30" s="92">
        <v>12921</v>
      </c>
      <c r="BJ30" s="92">
        <v>1025</v>
      </c>
      <c r="BK30" s="92">
        <v>9953</v>
      </c>
      <c r="BL30" s="68">
        <f t="shared" si="4"/>
        <v>77249.36</v>
      </c>
      <c r="BM30" s="68">
        <f t="shared" si="5"/>
        <v>228145.43</v>
      </c>
    </row>
    <row r="31" spans="1:65" s="7" customFormat="1" x14ac:dyDescent="0.25">
      <c r="A31" s="3" t="s">
        <v>288</v>
      </c>
      <c r="B31" s="10">
        <v>1491</v>
      </c>
      <c r="C31" s="10">
        <v>3302</v>
      </c>
      <c r="D31" s="10"/>
      <c r="E31" s="10"/>
      <c r="F31" s="10"/>
      <c r="G31" s="10"/>
      <c r="H31" s="10">
        <v>59623</v>
      </c>
      <c r="I31" s="10">
        <v>144134</v>
      </c>
      <c r="J31" s="10"/>
      <c r="K31" s="10"/>
      <c r="L31" s="10">
        <v>30955</v>
      </c>
      <c r="M31" s="10">
        <v>85341</v>
      </c>
      <c r="N31" s="10"/>
      <c r="O31" s="10"/>
      <c r="P31" s="131">
        <v>2216.13</v>
      </c>
      <c r="Q31" s="131">
        <v>5061.71</v>
      </c>
      <c r="R31" s="10">
        <v>22791.73</v>
      </c>
      <c r="S31" s="10">
        <v>55496.28</v>
      </c>
      <c r="T31" s="10">
        <v>16226</v>
      </c>
      <c r="U31" s="10">
        <v>34738</v>
      </c>
      <c r="V31" s="10">
        <v>39172</v>
      </c>
      <c r="W31" s="10">
        <v>67099</v>
      </c>
      <c r="X31" s="10">
        <v>101301</v>
      </c>
      <c r="Y31" s="10">
        <v>282193</v>
      </c>
      <c r="Z31" s="10">
        <v>48150</v>
      </c>
      <c r="AA31" s="10">
        <v>129425</v>
      </c>
      <c r="AB31" s="10">
        <v>3394</v>
      </c>
      <c r="AC31" s="10">
        <v>8580</v>
      </c>
      <c r="AD31" s="10">
        <v>11103</v>
      </c>
      <c r="AE31" s="10">
        <v>28961</v>
      </c>
      <c r="AF31" s="10">
        <v>6595.9</v>
      </c>
      <c r="AG31" s="10">
        <v>12940.63</v>
      </c>
      <c r="AH31" s="10"/>
      <c r="AI31" s="10"/>
      <c r="AJ31" s="10"/>
      <c r="AK31" s="10"/>
      <c r="AL31" s="10">
        <v>95300.59</v>
      </c>
      <c r="AM31" s="10">
        <v>228891.81</v>
      </c>
      <c r="AN31" s="10">
        <v>387</v>
      </c>
      <c r="AO31" s="10">
        <v>1190</v>
      </c>
      <c r="AP31" s="10">
        <v>4541</v>
      </c>
      <c r="AQ31" s="10">
        <v>10100</v>
      </c>
      <c r="AR31" s="10">
        <v>31722</v>
      </c>
      <c r="AS31" s="10">
        <v>85771</v>
      </c>
      <c r="AT31" s="10">
        <v>25681</v>
      </c>
      <c r="AU31" s="10">
        <v>65623</v>
      </c>
      <c r="AV31" s="10">
        <v>18657</v>
      </c>
      <c r="AW31" s="10">
        <v>45672</v>
      </c>
      <c r="AX31" s="10">
        <v>31144</v>
      </c>
      <c r="AY31" s="10">
        <v>68344</v>
      </c>
      <c r="AZ31" s="10"/>
      <c r="BA31" s="10"/>
      <c r="BB31" s="10">
        <v>45601</v>
      </c>
      <c r="BC31" s="10">
        <v>109718</v>
      </c>
      <c r="BD31" s="10">
        <v>185399</v>
      </c>
      <c r="BE31" s="10">
        <v>444623</v>
      </c>
      <c r="BF31" s="10">
        <v>59398</v>
      </c>
      <c r="BG31" s="10">
        <v>148367</v>
      </c>
      <c r="BH31" s="10">
        <v>91143</v>
      </c>
      <c r="BI31" s="10">
        <v>221746</v>
      </c>
      <c r="BJ31" s="10">
        <v>17846</v>
      </c>
      <c r="BK31" s="10">
        <v>29683</v>
      </c>
      <c r="BL31" s="63">
        <f t="shared" si="4"/>
        <v>949838.35</v>
      </c>
      <c r="BM31" s="63">
        <f t="shared" si="5"/>
        <v>2317000.4299999997</v>
      </c>
    </row>
    <row r="32" spans="1:65" x14ac:dyDescent="0.25">
      <c r="A32" s="20" t="s">
        <v>289</v>
      </c>
      <c r="B32" s="92">
        <v>14462</v>
      </c>
      <c r="C32" s="92">
        <v>14462</v>
      </c>
      <c r="D32" s="76"/>
      <c r="E32" s="76"/>
      <c r="F32" s="76"/>
      <c r="G32" s="76"/>
      <c r="H32" s="92">
        <v>958920</v>
      </c>
      <c r="I32" s="92">
        <v>958920</v>
      </c>
      <c r="J32" s="76"/>
      <c r="K32" s="76"/>
      <c r="L32" s="92">
        <v>667828</v>
      </c>
      <c r="M32" s="92">
        <v>667828</v>
      </c>
      <c r="N32" s="76"/>
      <c r="O32" s="76"/>
      <c r="P32" s="91">
        <v>10465.209999999999</v>
      </c>
      <c r="Q32" s="91">
        <v>10465.209999999999</v>
      </c>
      <c r="R32" s="92">
        <v>223117.78</v>
      </c>
      <c r="S32" s="92">
        <v>223117.78</v>
      </c>
      <c r="T32" s="92">
        <v>325305</v>
      </c>
      <c r="U32" s="92">
        <v>325305</v>
      </c>
      <c r="V32" s="92">
        <v>504665</v>
      </c>
      <c r="W32" s="92">
        <v>504665</v>
      </c>
      <c r="X32" s="92">
        <v>1495256</v>
      </c>
      <c r="Y32" s="92">
        <v>1495256</v>
      </c>
      <c r="Z32" s="92">
        <v>19737</v>
      </c>
      <c r="AA32" s="92">
        <v>634257</v>
      </c>
      <c r="AB32" s="92">
        <v>39949</v>
      </c>
      <c r="AC32" s="92">
        <v>39949</v>
      </c>
      <c r="AD32" s="92">
        <v>114896</v>
      </c>
      <c r="AE32" s="92">
        <v>114896</v>
      </c>
      <c r="AF32" s="92">
        <v>182881.46</v>
      </c>
      <c r="AG32" s="92">
        <v>182881.46</v>
      </c>
      <c r="AH32" s="76"/>
      <c r="AI32" s="76"/>
      <c r="AJ32" s="76"/>
      <c r="AK32" s="76"/>
      <c r="AL32" s="92">
        <v>1585581.38</v>
      </c>
      <c r="AM32" s="92">
        <v>1585581.38</v>
      </c>
      <c r="AN32" s="92">
        <v>10564</v>
      </c>
      <c r="AO32" s="92">
        <v>10564</v>
      </c>
      <c r="AP32" s="92">
        <v>30942</v>
      </c>
      <c r="AQ32" s="92">
        <v>30942</v>
      </c>
      <c r="AR32" s="76">
        <v>602234</v>
      </c>
      <c r="AS32" s="76">
        <v>602234</v>
      </c>
      <c r="AT32" s="92">
        <v>424611</v>
      </c>
      <c r="AU32" s="92">
        <v>424611</v>
      </c>
      <c r="AV32" s="92">
        <v>244924</v>
      </c>
      <c r="AW32" s="92">
        <v>244924</v>
      </c>
      <c r="AX32" s="92">
        <v>757377</v>
      </c>
      <c r="AY32" s="92">
        <v>757377</v>
      </c>
      <c r="AZ32" s="76"/>
      <c r="BA32" s="76"/>
      <c r="BB32" s="92">
        <v>699780</v>
      </c>
      <c r="BC32" s="92">
        <v>699780</v>
      </c>
      <c r="BD32" s="92">
        <v>2240372</v>
      </c>
      <c r="BE32" s="92">
        <v>2240372</v>
      </c>
      <c r="BF32" s="92">
        <v>23243</v>
      </c>
      <c r="BG32" s="92">
        <v>1251071</v>
      </c>
      <c r="BH32" s="92">
        <v>1909012</v>
      </c>
      <c r="BI32" s="92">
        <v>1909012</v>
      </c>
      <c r="BJ32" s="92">
        <v>2618</v>
      </c>
      <c r="BK32" s="92">
        <v>133940</v>
      </c>
      <c r="BL32" s="68">
        <f t="shared" si="4"/>
        <v>13088740.83</v>
      </c>
      <c r="BM32" s="68">
        <f t="shared" si="5"/>
        <v>15062410.83</v>
      </c>
    </row>
    <row r="33" spans="1:65" ht="15" customHeight="1" x14ac:dyDescent="0.25">
      <c r="A33" s="20" t="s">
        <v>290</v>
      </c>
      <c r="B33" s="92">
        <v>12718</v>
      </c>
      <c r="C33" s="92">
        <v>9833</v>
      </c>
      <c r="D33" s="76"/>
      <c r="E33" s="76"/>
      <c r="F33" s="76"/>
      <c r="G33" s="76"/>
      <c r="H33" s="92">
        <v>943812</v>
      </c>
      <c r="I33" s="92">
        <v>872027</v>
      </c>
      <c r="J33" s="76"/>
      <c r="K33" s="76"/>
      <c r="L33" s="92">
        <v>653542</v>
      </c>
      <c r="M33" s="92">
        <v>626308</v>
      </c>
      <c r="N33" s="76"/>
      <c r="O33" s="76"/>
      <c r="P33" s="91">
        <v>9801.2999999999993</v>
      </c>
      <c r="Q33" s="91">
        <v>7584.63</v>
      </c>
      <c r="R33" s="92">
        <v>221597.48</v>
      </c>
      <c r="S33" s="92">
        <v>214189.24</v>
      </c>
      <c r="T33" s="92">
        <v>284000</v>
      </c>
      <c r="U33" s="92">
        <v>204441</v>
      </c>
      <c r="V33" s="92">
        <v>-490840</v>
      </c>
      <c r="W33" s="92">
        <v>-432530</v>
      </c>
      <c r="X33" s="92">
        <v>1458066</v>
      </c>
      <c r="Y33" s="92">
        <v>1131942</v>
      </c>
      <c r="Z33" s="92">
        <v>0</v>
      </c>
      <c r="AA33" s="92">
        <v>560905</v>
      </c>
      <c r="AB33" s="92">
        <v>37434</v>
      </c>
      <c r="AC33" s="92">
        <v>31847</v>
      </c>
      <c r="AD33" s="92">
        <v>109594</v>
      </c>
      <c r="AE33" s="92">
        <v>101377</v>
      </c>
      <c r="AF33" s="92">
        <v>-176129.8</v>
      </c>
      <c r="AG33" s="92">
        <v>-155856.06</v>
      </c>
      <c r="AH33" s="76"/>
      <c r="AI33" s="76"/>
      <c r="AJ33" s="76"/>
      <c r="AK33" s="76"/>
      <c r="AL33" s="92">
        <v>1568244.8</v>
      </c>
      <c r="AM33" s="92">
        <v>1518803.03</v>
      </c>
      <c r="AN33" s="92">
        <v>-10077</v>
      </c>
      <c r="AO33" s="92">
        <v>-9117</v>
      </c>
      <c r="AP33" s="92">
        <v>29669</v>
      </c>
      <c r="AQ33" s="92">
        <v>25647</v>
      </c>
      <c r="AR33" s="76">
        <v>575987</v>
      </c>
      <c r="AS33" s="76">
        <v>538373</v>
      </c>
      <c r="AT33" s="92">
        <v>411894</v>
      </c>
      <c r="AU33" s="92">
        <v>377494</v>
      </c>
      <c r="AV33" s="92">
        <v>229069</v>
      </c>
      <c r="AW33" s="92">
        <v>200276</v>
      </c>
      <c r="AX33" s="92">
        <v>759340</v>
      </c>
      <c r="AY33" s="92">
        <v>722966</v>
      </c>
      <c r="AZ33" s="76"/>
      <c r="BA33" s="76"/>
      <c r="BB33" s="92">
        <v>662013</v>
      </c>
      <c r="BC33" s="92">
        <v>572329</v>
      </c>
      <c r="BD33" s="92">
        <v>2197396</v>
      </c>
      <c r="BE33" s="92">
        <v>2062177</v>
      </c>
      <c r="BF33" s="92">
        <v>0</v>
      </c>
      <c r="BG33" s="92">
        <v>1158080</v>
      </c>
      <c r="BH33" s="92">
        <v>1885545</v>
      </c>
      <c r="BI33" s="92">
        <v>1815180</v>
      </c>
      <c r="BJ33" s="92"/>
      <c r="BK33" s="92">
        <v>126954</v>
      </c>
      <c r="BL33" s="68">
        <f t="shared" si="4"/>
        <v>11372675.780000001</v>
      </c>
      <c r="BM33" s="68">
        <f t="shared" si="5"/>
        <v>12281229.84</v>
      </c>
    </row>
    <row r="34" spans="1:65" s="7" customFormat="1" x14ac:dyDescent="0.25">
      <c r="A34" s="3" t="s">
        <v>291</v>
      </c>
      <c r="B34" s="10">
        <v>3235</v>
      </c>
      <c r="C34" s="10">
        <v>7931</v>
      </c>
      <c r="D34" s="10"/>
      <c r="E34" s="10"/>
      <c r="F34" s="10"/>
      <c r="G34" s="10"/>
      <c r="H34" s="10">
        <v>74731</v>
      </c>
      <c r="I34" s="10">
        <v>231027</v>
      </c>
      <c r="J34" s="10"/>
      <c r="K34" s="10"/>
      <c r="L34" s="10">
        <v>45241</v>
      </c>
      <c r="M34" s="10">
        <v>126861</v>
      </c>
      <c r="N34" s="10"/>
      <c r="O34" s="10"/>
      <c r="P34" s="131">
        <v>2880.04</v>
      </c>
      <c r="Q34" s="131">
        <v>7942.29</v>
      </c>
      <c r="R34" s="10">
        <v>24312.02</v>
      </c>
      <c r="S34" s="10">
        <v>64424.82</v>
      </c>
      <c r="T34" s="10">
        <v>57531</v>
      </c>
      <c r="U34" s="10">
        <v>155602</v>
      </c>
      <c r="V34" s="10">
        <v>52997</v>
      </c>
      <c r="W34" s="10">
        <v>139234</v>
      </c>
      <c r="X34" s="10">
        <v>138491</v>
      </c>
      <c r="Y34" s="10">
        <v>410850</v>
      </c>
      <c r="Z34" s="10">
        <v>67886</v>
      </c>
      <c r="AA34" s="10">
        <v>202777</v>
      </c>
      <c r="AB34" s="10">
        <v>5909</v>
      </c>
      <c r="AC34" s="10">
        <v>16682</v>
      </c>
      <c r="AD34" s="10">
        <v>16404</v>
      </c>
      <c r="AE34" s="10">
        <v>42480</v>
      </c>
      <c r="AF34" s="10">
        <v>13347.56</v>
      </c>
      <c r="AG34" s="10">
        <v>39966.03</v>
      </c>
      <c r="AH34" s="10"/>
      <c r="AI34" s="10"/>
      <c r="AJ34" s="10"/>
      <c r="AK34" s="10"/>
      <c r="AL34" s="10">
        <v>112637.17</v>
      </c>
      <c r="AM34" s="10">
        <v>295670.15000000002</v>
      </c>
      <c r="AN34" s="10">
        <v>874</v>
      </c>
      <c r="AO34" s="10">
        <v>2637</v>
      </c>
      <c r="AP34" s="10">
        <v>5814</v>
      </c>
      <c r="AQ34" s="10">
        <v>15394</v>
      </c>
      <c r="AR34" s="10">
        <v>57969</v>
      </c>
      <c r="AS34" s="10">
        <v>149632</v>
      </c>
      <c r="AT34" s="10">
        <v>38398</v>
      </c>
      <c r="AU34" s="10">
        <v>112740</v>
      </c>
      <c r="AV34" s="10">
        <v>34513</v>
      </c>
      <c r="AW34" s="10">
        <v>90320</v>
      </c>
      <c r="AX34" s="10">
        <v>29181</v>
      </c>
      <c r="AY34" s="10">
        <v>102755</v>
      </c>
      <c r="AZ34" s="10"/>
      <c r="BA34" s="10"/>
      <c r="BB34" s="10">
        <v>83368</v>
      </c>
      <c r="BC34" s="10">
        <v>237169</v>
      </c>
      <c r="BD34" s="10">
        <v>228375</v>
      </c>
      <c r="BE34" s="10">
        <v>622818</v>
      </c>
      <c r="BF34" s="10">
        <v>82641</v>
      </c>
      <c r="BG34" s="10">
        <v>241358</v>
      </c>
      <c r="BH34" s="10">
        <v>114610</v>
      </c>
      <c r="BI34" s="10">
        <v>315578</v>
      </c>
      <c r="BJ34" s="10">
        <v>20464</v>
      </c>
      <c r="BK34" s="10">
        <v>36669</v>
      </c>
      <c r="BL34" s="63">
        <f t="shared" si="4"/>
        <v>1311808.79</v>
      </c>
      <c r="BM34" s="63">
        <f t="shared" si="5"/>
        <v>3668517.29</v>
      </c>
    </row>
    <row r="35" spans="1:65" x14ac:dyDescent="0.25">
      <c r="A35" s="13"/>
    </row>
    <row r="36" spans="1:65" x14ac:dyDescent="0.25">
      <c r="A36" s="27" t="s">
        <v>185</v>
      </c>
    </row>
    <row r="37" spans="1:65" x14ac:dyDescent="0.25">
      <c r="A37" s="3" t="s">
        <v>0</v>
      </c>
      <c r="B37" s="153" t="s">
        <v>1</v>
      </c>
      <c r="C37" s="154"/>
      <c r="D37" s="153" t="s">
        <v>234</v>
      </c>
      <c r="E37" s="154"/>
      <c r="F37" s="153" t="s">
        <v>2</v>
      </c>
      <c r="G37" s="154"/>
      <c r="H37" s="153" t="s">
        <v>3</v>
      </c>
      <c r="I37" s="154"/>
      <c r="J37" s="153" t="s">
        <v>243</v>
      </c>
      <c r="K37" s="154"/>
      <c r="L37" s="153" t="s">
        <v>235</v>
      </c>
      <c r="M37" s="154"/>
      <c r="N37" s="153" t="s">
        <v>5</v>
      </c>
      <c r="O37" s="154"/>
      <c r="P37" s="153" t="s">
        <v>4</v>
      </c>
      <c r="Q37" s="154"/>
      <c r="R37" s="153" t="s">
        <v>6</v>
      </c>
      <c r="S37" s="154"/>
      <c r="T37" s="153" t="s">
        <v>246</v>
      </c>
      <c r="U37" s="154"/>
      <c r="V37" s="153" t="s">
        <v>7</v>
      </c>
      <c r="W37" s="154"/>
      <c r="X37" s="153" t="s">
        <v>8</v>
      </c>
      <c r="Y37" s="154"/>
      <c r="Z37" s="153" t="s">
        <v>9</v>
      </c>
      <c r="AA37" s="154"/>
      <c r="AB37" s="153" t="s">
        <v>242</v>
      </c>
      <c r="AC37" s="154"/>
      <c r="AD37" s="153" t="s">
        <v>10</v>
      </c>
      <c r="AE37" s="154"/>
      <c r="AF37" s="153" t="s">
        <v>11</v>
      </c>
      <c r="AG37" s="154"/>
      <c r="AH37" s="153" t="s">
        <v>236</v>
      </c>
      <c r="AI37" s="154"/>
      <c r="AJ37" s="153" t="s">
        <v>245</v>
      </c>
      <c r="AK37" s="154"/>
      <c r="AL37" s="153" t="s">
        <v>12</v>
      </c>
      <c r="AM37" s="154"/>
      <c r="AN37" s="153" t="s">
        <v>237</v>
      </c>
      <c r="AO37" s="154"/>
      <c r="AP37" s="153" t="s">
        <v>238</v>
      </c>
      <c r="AQ37" s="154"/>
      <c r="AR37" s="153" t="s">
        <v>241</v>
      </c>
      <c r="AS37" s="154"/>
      <c r="AT37" s="153" t="s">
        <v>13</v>
      </c>
      <c r="AU37" s="154"/>
      <c r="AV37" s="153" t="s">
        <v>14</v>
      </c>
      <c r="AW37" s="154"/>
      <c r="AX37" s="153" t="s">
        <v>15</v>
      </c>
      <c r="AY37" s="154"/>
      <c r="AZ37" s="153" t="s">
        <v>16</v>
      </c>
      <c r="BA37" s="154"/>
      <c r="BB37" s="153" t="s">
        <v>17</v>
      </c>
      <c r="BC37" s="154"/>
      <c r="BD37" s="153" t="s">
        <v>239</v>
      </c>
      <c r="BE37" s="154"/>
      <c r="BF37" s="153" t="s">
        <v>240</v>
      </c>
      <c r="BG37" s="154"/>
      <c r="BH37" s="153" t="s">
        <v>18</v>
      </c>
      <c r="BI37" s="154"/>
      <c r="BJ37" s="153" t="s">
        <v>19</v>
      </c>
      <c r="BK37" s="154"/>
      <c r="BL37" s="155" t="s">
        <v>20</v>
      </c>
      <c r="BM37" s="156"/>
    </row>
    <row r="38" spans="1:65" ht="30" x14ac:dyDescent="0.25">
      <c r="A38" s="3"/>
      <c r="B38" s="53" t="s">
        <v>303</v>
      </c>
      <c r="C38" s="54" t="s">
        <v>302</v>
      </c>
      <c r="D38" s="53" t="s">
        <v>303</v>
      </c>
      <c r="E38" s="54" t="s">
        <v>302</v>
      </c>
      <c r="F38" s="53" t="s">
        <v>303</v>
      </c>
      <c r="G38" s="54" t="s">
        <v>302</v>
      </c>
      <c r="H38" s="53" t="s">
        <v>303</v>
      </c>
      <c r="I38" s="54" t="s">
        <v>302</v>
      </c>
      <c r="J38" s="53" t="s">
        <v>303</v>
      </c>
      <c r="K38" s="54" t="s">
        <v>302</v>
      </c>
      <c r="L38" s="53" t="s">
        <v>303</v>
      </c>
      <c r="M38" s="54" t="s">
        <v>302</v>
      </c>
      <c r="N38" s="53" t="s">
        <v>303</v>
      </c>
      <c r="O38" s="54" t="s">
        <v>302</v>
      </c>
      <c r="P38" s="53" t="s">
        <v>303</v>
      </c>
      <c r="Q38" s="54" t="s">
        <v>302</v>
      </c>
      <c r="R38" s="53" t="s">
        <v>303</v>
      </c>
      <c r="S38" s="54" t="s">
        <v>302</v>
      </c>
      <c r="T38" s="53" t="s">
        <v>303</v>
      </c>
      <c r="U38" s="54" t="s">
        <v>302</v>
      </c>
      <c r="V38" s="53" t="s">
        <v>303</v>
      </c>
      <c r="W38" s="54" t="s">
        <v>302</v>
      </c>
      <c r="X38" s="53" t="s">
        <v>303</v>
      </c>
      <c r="Y38" s="54" t="s">
        <v>302</v>
      </c>
      <c r="Z38" s="53" t="s">
        <v>303</v>
      </c>
      <c r="AA38" s="54" t="s">
        <v>302</v>
      </c>
      <c r="AB38" s="53" t="s">
        <v>303</v>
      </c>
      <c r="AC38" s="54" t="s">
        <v>302</v>
      </c>
      <c r="AD38" s="53" t="s">
        <v>303</v>
      </c>
      <c r="AE38" s="54" t="s">
        <v>302</v>
      </c>
      <c r="AF38" s="53" t="s">
        <v>303</v>
      </c>
      <c r="AG38" s="54" t="s">
        <v>302</v>
      </c>
      <c r="AH38" s="53" t="s">
        <v>303</v>
      </c>
      <c r="AI38" s="54" t="s">
        <v>302</v>
      </c>
      <c r="AJ38" s="53" t="s">
        <v>303</v>
      </c>
      <c r="AK38" s="54" t="s">
        <v>302</v>
      </c>
      <c r="AL38" s="53" t="s">
        <v>303</v>
      </c>
      <c r="AM38" s="54" t="s">
        <v>302</v>
      </c>
      <c r="AN38" s="53" t="s">
        <v>303</v>
      </c>
      <c r="AO38" s="54" t="s">
        <v>302</v>
      </c>
      <c r="AP38" s="53" t="s">
        <v>303</v>
      </c>
      <c r="AQ38" s="54" t="s">
        <v>302</v>
      </c>
      <c r="AR38" s="53" t="s">
        <v>303</v>
      </c>
      <c r="AS38" s="54" t="s">
        <v>302</v>
      </c>
      <c r="AT38" s="53" t="s">
        <v>303</v>
      </c>
      <c r="AU38" s="54" t="s">
        <v>302</v>
      </c>
      <c r="AV38" s="53" t="s">
        <v>303</v>
      </c>
      <c r="AW38" s="54" t="s">
        <v>302</v>
      </c>
      <c r="AX38" s="53" t="s">
        <v>303</v>
      </c>
      <c r="AY38" s="54" t="s">
        <v>302</v>
      </c>
      <c r="AZ38" s="53" t="s">
        <v>303</v>
      </c>
      <c r="BA38" s="54" t="s">
        <v>302</v>
      </c>
      <c r="BB38" s="53" t="s">
        <v>303</v>
      </c>
      <c r="BC38" s="54" t="s">
        <v>302</v>
      </c>
      <c r="BD38" s="53" t="s">
        <v>303</v>
      </c>
      <c r="BE38" s="54" t="s">
        <v>302</v>
      </c>
      <c r="BF38" s="53" t="s">
        <v>303</v>
      </c>
      <c r="BG38" s="54" t="s">
        <v>302</v>
      </c>
      <c r="BH38" s="53" t="s">
        <v>303</v>
      </c>
      <c r="BI38" s="54" t="s">
        <v>302</v>
      </c>
      <c r="BJ38" s="53" t="s">
        <v>303</v>
      </c>
      <c r="BK38" s="54" t="s">
        <v>302</v>
      </c>
      <c r="BL38" s="105" t="s">
        <v>303</v>
      </c>
      <c r="BM38" s="106" t="s">
        <v>302</v>
      </c>
    </row>
    <row r="39" spans="1:65" x14ac:dyDescent="0.25">
      <c r="A39" s="20" t="s">
        <v>285</v>
      </c>
      <c r="B39" s="76"/>
      <c r="C39" s="76"/>
      <c r="D39" s="76"/>
      <c r="E39" s="76"/>
      <c r="F39" s="76"/>
      <c r="G39" s="76"/>
      <c r="H39" s="92">
        <v>1259</v>
      </c>
      <c r="I39" s="92">
        <v>3611</v>
      </c>
      <c r="J39" s="76"/>
      <c r="K39" s="76"/>
      <c r="L39" s="92">
        <v>302</v>
      </c>
      <c r="M39" s="92">
        <v>904</v>
      </c>
      <c r="N39" s="76"/>
      <c r="O39" s="76"/>
      <c r="P39" s="91">
        <v>29.5</v>
      </c>
      <c r="Q39" s="91">
        <v>91.74</v>
      </c>
      <c r="R39" s="92">
        <v>337.29</v>
      </c>
      <c r="S39" s="92">
        <v>1367.45</v>
      </c>
      <c r="T39" s="92">
        <v>146</v>
      </c>
      <c r="U39" s="92">
        <v>218</v>
      </c>
      <c r="V39" s="92">
        <v>1503</v>
      </c>
      <c r="W39" s="92">
        <v>4441</v>
      </c>
      <c r="X39" s="92">
        <v>4062</v>
      </c>
      <c r="Y39" s="92">
        <v>11776</v>
      </c>
      <c r="Z39" s="92">
        <v>764</v>
      </c>
      <c r="AA39" s="92">
        <v>2615</v>
      </c>
      <c r="AB39" s="92">
        <v>6</v>
      </c>
      <c r="AC39" s="92">
        <v>16</v>
      </c>
      <c r="AD39" s="92">
        <v>470</v>
      </c>
      <c r="AE39" s="92">
        <v>1206</v>
      </c>
      <c r="AF39" s="92">
        <v>9.81</v>
      </c>
      <c r="AG39" s="92">
        <v>62.41</v>
      </c>
      <c r="AH39" s="76"/>
      <c r="AI39" s="76"/>
      <c r="AJ39" s="76"/>
      <c r="AK39" s="76"/>
      <c r="AL39" s="92">
        <v>2470.7800000000002</v>
      </c>
      <c r="AM39" s="92">
        <v>6923.5</v>
      </c>
      <c r="AN39" s="76"/>
      <c r="AO39" s="76"/>
      <c r="AP39" s="92">
        <v>5</v>
      </c>
      <c r="AQ39" s="92">
        <v>7</v>
      </c>
      <c r="AR39" s="76">
        <v>876</v>
      </c>
      <c r="AS39" s="76">
        <v>2838</v>
      </c>
      <c r="AT39" s="92">
        <v>907</v>
      </c>
      <c r="AU39" s="92">
        <v>1501</v>
      </c>
      <c r="AV39" s="92">
        <v>159</v>
      </c>
      <c r="AW39" s="92">
        <v>1132</v>
      </c>
      <c r="AX39" s="92">
        <v>175</v>
      </c>
      <c r="AY39" s="92">
        <v>586</v>
      </c>
      <c r="AZ39" s="76"/>
      <c r="BA39" s="76"/>
      <c r="BB39" s="92">
        <v>911</v>
      </c>
      <c r="BC39" s="92">
        <v>3587</v>
      </c>
      <c r="BD39" s="92">
        <v>6330</v>
      </c>
      <c r="BE39" s="92">
        <v>18448</v>
      </c>
      <c r="BF39" s="92">
        <v>2101</v>
      </c>
      <c r="BG39" s="92">
        <v>5173</v>
      </c>
      <c r="BH39" s="92">
        <v>3935</v>
      </c>
      <c r="BI39" s="92">
        <v>18923</v>
      </c>
      <c r="BJ39" s="92">
        <v>212</v>
      </c>
      <c r="BK39" s="92">
        <v>368</v>
      </c>
      <c r="BL39" s="68">
        <f t="shared" ref="BL39:BL45" si="6">SUM(B39+D39+F39+H39+J39+L39+N39+P39+R39+T39+V39+X39+Z39+AB39+AD39+AF39+AH39+AJ39+AL39+AN39+AP39+AR39+AT39+AV39+AX39+AZ39+BB39+BD39+BF39+BH39+BJ39)</f>
        <v>26970.38</v>
      </c>
      <c r="BM39" s="68">
        <f t="shared" ref="BM39:BM45" si="7">SUM(C39+E39+G39+I39+K39+M39+O39+Q39+S39+U39+W39+Y39+AA39+AC39+AE39+AG39+AI39+AK39+AM39+AO39+AQ39+AS39+AU39+AW39+AY39+BA39+BC39+BE39+BG39+BI39+BK39)</f>
        <v>85795.1</v>
      </c>
    </row>
    <row r="40" spans="1:65" x14ac:dyDescent="0.25">
      <c r="A40" s="20" t="s">
        <v>286</v>
      </c>
      <c r="B40" s="76"/>
      <c r="C40" s="76"/>
      <c r="D40" s="76"/>
      <c r="E40" s="76"/>
      <c r="F40" s="76"/>
      <c r="G40" s="76"/>
      <c r="H40" s="92">
        <v>2</v>
      </c>
      <c r="I40" s="92">
        <v>12</v>
      </c>
      <c r="J40" s="76"/>
      <c r="K40" s="76"/>
      <c r="L40" s="92">
        <v>1</v>
      </c>
      <c r="M40" s="92">
        <v>1</v>
      </c>
      <c r="N40" s="76"/>
      <c r="O40" s="76"/>
      <c r="P40" s="91">
        <v>0.16</v>
      </c>
      <c r="Q40" s="91">
        <v>0.54</v>
      </c>
      <c r="R40" s="92">
        <v>97.23</v>
      </c>
      <c r="S40" s="92">
        <v>146.41999999999999</v>
      </c>
      <c r="T40" s="92"/>
      <c r="U40" s="92">
        <v>7</v>
      </c>
      <c r="V40" s="92">
        <v>1</v>
      </c>
      <c r="W40" s="92">
        <v>150</v>
      </c>
      <c r="X40" s="92">
        <v>14</v>
      </c>
      <c r="Y40" s="92">
        <v>91</v>
      </c>
      <c r="Z40" s="92">
        <v>43</v>
      </c>
      <c r="AA40" s="92">
        <v>75</v>
      </c>
      <c r="AB40" s="92">
        <v>0.16</v>
      </c>
      <c r="AC40" s="92">
        <v>1</v>
      </c>
      <c r="AD40" s="92">
        <v>0</v>
      </c>
      <c r="AE40" s="92">
        <v>1</v>
      </c>
      <c r="AF40" s="92">
        <v>0.99</v>
      </c>
      <c r="AG40" s="92">
        <v>3.08</v>
      </c>
      <c r="AH40" s="76"/>
      <c r="AI40" s="76"/>
      <c r="AJ40" s="76"/>
      <c r="AK40" s="76"/>
      <c r="AL40" s="92">
        <v>284.94</v>
      </c>
      <c r="AM40" s="92">
        <v>386.63</v>
      </c>
      <c r="AN40" s="76"/>
      <c r="AO40" s="76"/>
      <c r="AP40" s="92">
        <v>16</v>
      </c>
      <c r="AQ40" s="92">
        <v>39</v>
      </c>
      <c r="AR40" s="76">
        <v>4</v>
      </c>
      <c r="AS40" s="76">
        <v>47</v>
      </c>
      <c r="AT40" s="92">
        <v>5</v>
      </c>
      <c r="AU40" s="92">
        <v>224</v>
      </c>
      <c r="AV40" s="92">
        <v>0</v>
      </c>
      <c r="AW40" s="92">
        <v>1</v>
      </c>
      <c r="AX40" s="92">
        <v>0</v>
      </c>
      <c r="AY40" s="92">
        <v>1</v>
      </c>
      <c r="AZ40" s="76"/>
      <c r="BA40" s="76"/>
      <c r="BB40" s="92">
        <v>1</v>
      </c>
      <c r="BC40" s="92">
        <v>3</v>
      </c>
      <c r="BD40" s="92">
        <v>7985</v>
      </c>
      <c r="BE40" s="92">
        <v>7985</v>
      </c>
      <c r="BF40" s="92">
        <v>2590</v>
      </c>
      <c r="BG40" s="92">
        <v>2982</v>
      </c>
      <c r="BH40" s="92">
        <v>1250</v>
      </c>
      <c r="BI40" s="92">
        <v>1414</v>
      </c>
      <c r="BJ40" s="92">
        <v>0</v>
      </c>
      <c r="BK40" s="92">
        <v>1</v>
      </c>
      <c r="BL40" s="68">
        <f t="shared" si="6"/>
        <v>12295.48</v>
      </c>
      <c r="BM40" s="68">
        <f t="shared" si="7"/>
        <v>13571.67</v>
      </c>
    </row>
    <row r="41" spans="1:65" x14ac:dyDescent="0.25">
      <c r="A41" s="20" t="s">
        <v>287</v>
      </c>
      <c r="B41" s="76"/>
      <c r="C41" s="76"/>
      <c r="D41" s="76"/>
      <c r="E41" s="76"/>
      <c r="F41" s="76"/>
      <c r="G41" s="76"/>
      <c r="H41" s="92">
        <v>-554</v>
      </c>
      <c r="I41" s="92">
        <v>-2957</v>
      </c>
      <c r="J41" s="76"/>
      <c r="K41" s="76"/>
      <c r="L41" s="92">
        <v>233</v>
      </c>
      <c r="M41" s="92">
        <v>539</v>
      </c>
      <c r="N41" s="76"/>
      <c r="O41" s="76"/>
      <c r="P41" s="91">
        <v>24.38</v>
      </c>
      <c r="Q41" s="91">
        <v>79.540000000000006</v>
      </c>
      <c r="R41" s="92">
        <v>360.82</v>
      </c>
      <c r="S41" s="92">
        <v>1259.02</v>
      </c>
      <c r="T41" s="92">
        <v>117</v>
      </c>
      <c r="U41" s="92">
        <v>186</v>
      </c>
      <c r="V41" s="92">
        <v>-699</v>
      </c>
      <c r="W41" s="92">
        <v>-2401</v>
      </c>
      <c r="X41" s="92">
        <v>2532</v>
      </c>
      <c r="Y41" s="92">
        <v>7135</v>
      </c>
      <c r="Z41" s="92">
        <v>529</v>
      </c>
      <c r="AA41" s="92">
        <v>1965</v>
      </c>
      <c r="AB41" s="92">
        <v>5</v>
      </c>
      <c r="AC41" s="92">
        <v>15</v>
      </c>
      <c r="AD41" s="92">
        <v>276</v>
      </c>
      <c r="AE41" s="92">
        <v>774</v>
      </c>
      <c r="AF41" s="92">
        <v>-9.9700000000000006</v>
      </c>
      <c r="AG41" s="92">
        <v>-57.31</v>
      </c>
      <c r="AH41" s="76"/>
      <c r="AI41" s="76"/>
      <c r="AJ41" s="76"/>
      <c r="AK41" s="76"/>
      <c r="AL41" s="92">
        <v>1310.31</v>
      </c>
      <c r="AM41" s="92">
        <v>3203.37</v>
      </c>
      <c r="AN41" s="76"/>
      <c r="AO41" s="76"/>
      <c r="AP41" s="92">
        <v>16</v>
      </c>
      <c r="AQ41" s="92">
        <v>35</v>
      </c>
      <c r="AR41" s="76">
        <v>517</v>
      </c>
      <c r="AS41" s="76">
        <v>1710</v>
      </c>
      <c r="AT41" s="92">
        <v>784</v>
      </c>
      <c r="AU41" s="92">
        <v>1419</v>
      </c>
      <c r="AV41" s="92">
        <v>53</v>
      </c>
      <c r="AW41" s="92">
        <v>486</v>
      </c>
      <c r="AX41" s="92">
        <v>18</v>
      </c>
      <c r="AY41" s="92">
        <v>98</v>
      </c>
      <c r="AZ41" s="76"/>
      <c r="BA41" s="76"/>
      <c r="BB41" s="92">
        <v>786</v>
      </c>
      <c r="BC41" s="92">
        <v>3223</v>
      </c>
      <c r="BD41" s="92">
        <v>6818</v>
      </c>
      <c r="BE41" s="92">
        <v>7016</v>
      </c>
      <c r="BF41" s="92">
        <v>687</v>
      </c>
      <c r="BG41" s="92">
        <v>1246</v>
      </c>
      <c r="BH41" s="92">
        <v>808</v>
      </c>
      <c r="BI41" s="92">
        <v>8944</v>
      </c>
      <c r="BJ41" s="92">
        <v>168</v>
      </c>
      <c r="BK41" s="92">
        <v>310</v>
      </c>
      <c r="BL41" s="68">
        <f t="shared" si="6"/>
        <v>14779.54</v>
      </c>
      <c r="BM41" s="68">
        <f t="shared" si="7"/>
        <v>34227.619999999995</v>
      </c>
    </row>
    <row r="42" spans="1:65" s="7" customFormat="1" x14ac:dyDescent="0.25">
      <c r="A42" s="3" t="s">
        <v>288</v>
      </c>
      <c r="B42" s="10"/>
      <c r="C42" s="10"/>
      <c r="D42" s="10"/>
      <c r="E42" s="10"/>
      <c r="F42" s="10"/>
      <c r="G42" s="10"/>
      <c r="H42" s="10">
        <v>706</v>
      </c>
      <c r="I42" s="10">
        <v>665</v>
      </c>
      <c r="J42" s="10"/>
      <c r="K42" s="10"/>
      <c r="L42" s="10">
        <v>70</v>
      </c>
      <c r="M42" s="10">
        <v>366</v>
      </c>
      <c r="N42" s="10"/>
      <c r="O42" s="10"/>
      <c r="P42" s="131">
        <v>5.28</v>
      </c>
      <c r="Q42" s="131">
        <v>12.74</v>
      </c>
      <c r="R42" s="10">
        <v>73.69</v>
      </c>
      <c r="S42" s="10">
        <v>254.85</v>
      </c>
      <c r="T42" s="10">
        <v>29</v>
      </c>
      <c r="U42" s="10">
        <v>39</v>
      </c>
      <c r="V42" s="10">
        <v>805</v>
      </c>
      <c r="W42" s="10">
        <v>2189</v>
      </c>
      <c r="X42" s="10">
        <v>1544</v>
      </c>
      <c r="Y42" s="10">
        <v>4732</v>
      </c>
      <c r="Z42" s="10">
        <v>278</v>
      </c>
      <c r="AA42" s="10">
        <v>725</v>
      </c>
      <c r="AB42" s="10">
        <v>1</v>
      </c>
      <c r="AC42" s="10">
        <v>2</v>
      </c>
      <c r="AD42" s="10">
        <v>195</v>
      </c>
      <c r="AE42" s="10">
        <v>433</v>
      </c>
      <c r="AF42" s="10">
        <v>0.83</v>
      </c>
      <c r="AG42" s="10">
        <v>8.18</v>
      </c>
      <c r="AH42" s="10"/>
      <c r="AI42" s="10"/>
      <c r="AJ42" s="10"/>
      <c r="AK42" s="10"/>
      <c r="AL42" s="10">
        <v>1445.41</v>
      </c>
      <c r="AM42" s="10">
        <v>4106.75</v>
      </c>
      <c r="AN42" s="10"/>
      <c r="AO42" s="10"/>
      <c r="AP42" s="10">
        <v>5</v>
      </c>
      <c r="AQ42" s="10">
        <v>12</v>
      </c>
      <c r="AR42" s="10">
        <v>363</v>
      </c>
      <c r="AS42" s="10">
        <v>1175</v>
      </c>
      <c r="AT42" s="10">
        <v>129</v>
      </c>
      <c r="AU42" s="10">
        <v>306</v>
      </c>
      <c r="AV42" s="10">
        <v>107</v>
      </c>
      <c r="AW42" s="10">
        <v>647</v>
      </c>
      <c r="AX42" s="10">
        <v>158</v>
      </c>
      <c r="AY42" s="10">
        <v>488</v>
      </c>
      <c r="AZ42" s="10"/>
      <c r="BA42" s="10"/>
      <c r="BB42" s="10">
        <v>125</v>
      </c>
      <c r="BC42" s="10">
        <v>367</v>
      </c>
      <c r="BD42" s="10">
        <v>7497</v>
      </c>
      <c r="BE42" s="10">
        <v>19416</v>
      </c>
      <c r="BF42" s="10">
        <v>4004</v>
      </c>
      <c r="BG42" s="10">
        <v>6910</v>
      </c>
      <c r="BH42" s="10">
        <v>4377</v>
      </c>
      <c r="BI42" s="10">
        <v>11392</v>
      </c>
      <c r="BJ42" s="10">
        <v>45</v>
      </c>
      <c r="BK42" s="10">
        <v>59</v>
      </c>
      <c r="BL42" s="63">
        <f t="shared" si="6"/>
        <v>21963.21</v>
      </c>
      <c r="BM42" s="63">
        <f t="shared" si="7"/>
        <v>54305.520000000004</v>
      </c>
    </row>
    <row r="43" spans="1:65" x14ac:dyDescent="0.25">
      <c r="A43" s="20" t="s">
        <v>289</v>
      </c>
      <c r="B43" s="76"/>
      <c r="C43" s="76"/>
      <c r="D43" s="76"/>
      <c r="E43" s="76"/>
      <c r="F43" s="76"/>
      <c r="G43" s="76"/>
      <c r="H43" s="92">
        <v>1853</v>
      </c>
      <c r="I43" s="92">
        <v>1853</v>
      </c>
      <c r="J43" s="76"/>
      <c r="K43" s="76"/>
      <c r="L43" s="92">
        <v>765</v>
      </c>
      <c r="M43" s="92">
        <v>765</v>
      </c>
      <c r="N43" s="76"/>
      <c r="O43" s="76"/>
      <c r="P43" s="91">
        <v>135.87</v>
      </c>
      <c r="Q43" s="91">
        <v>135.87</v>
      </c>
      <c r="R43" s="92">
        <v>1238.76</v>
      </c>
      <c r="S43" s="92">
        <v>1238.76</v>
      </c>
      <c r="T43" s="92">
        <v>72</v>
      </c>
      <c r="U43" s="92">
        <v>72</v>
      </c>
      <c r="V43" s="92">
        <v>5731</v>
      </c>
      <c r="W43" s="92">
        <v>5731</v>
      </c>
      <c r="X43" s="92">
        <v>13385</v>
      </c>
      <c r="Y43" s="92">
        <v>13385</v>
      </c>
      <c r="Z43" s="92">
        <v>109</v>
      </c>
      <c r="AA43" s="92">
        <v>1573</v>
      </c>
      <c r="AB43" s="92">
        <v>27</v>
      </c>
      <c r="AC43" s="92">
        <v>27</v>
      </c>
      <c r="AD43" s="92">
        <v>528</v>
      </c>
      <c r="AE43" s="92">
        <v>528</v>
      </c>
      <c r="AF43" s="92">
        <v>226.53</v>
      </c>
      <c r="AG43" s="92">
        <v>226.53</v>
      </c>
      <c r="AH43" s="76"/>
      <c r="AI43" s="76"/>
      <c r="AJ43" s="76"/>
      <c r="AK43" s="76"/>
      <c r="AL43" s="92">
        <v>27726.95</v>
      </c>
      <c r="AM43" s="92">
        <v>27726.95</v>
      </c>
      <c r="AN43" s="76"/>
      <c r="AO43" s="76"/>
      <c r="AP43" s="92">
        <v>53</v>
      </c>
      <c r="AQ43" s="92">
        <v>53</v>
      </c>
      <c r="AR43" s="76">
        <v>3261</v>
      </c>
      <c r="AS43" s="76">
        <v>3261</v>
      </c>
      <c r="AT43" s="92">
        <v>951</v>
      </c>
      <c r="AU43" s="92">
        <v>951</v>
      </c>
      <c r="AV43" s="92">
        <v>1767</v>
      </c>
      <c r="AW43" s="92">
        <v>1767</v>
      </c>
      <c r="AX43" s="92">
        <v>1241</v>
      </c>
      <c r="AY43" s="92">
        <v>1241</v>
      </c>
      <c r="AZ43" s="76"/>
      <c r="BA43" s="76"/>
      <c r="BB43" s="92">
        <v>1353</v>
      </c>
      <c r="BC43" s="92">
        <v>1353</v>
      </c>
      <c r="BD43" s="92">
        <v>77238</v>
      </c>
      <c r="BE43" s="92">
        <v>77238</v>
      </c>
      <c r="BF43" s="92">
        <v>472</v>
      </c>
      <c r="BG43" s="92">
        <v>42411</v>
      </c>
      <c r="BH43" s="92">
        <v>35716</v>
      </c>
      <c r="BI43" s="92">
        <v>35716</v>
      </c>
      <c r="BJ43" s="92">
        <v>-38</v>
      </c>
      <c r="BK43" s="92">
        <v>363</v>
      </c>
      <c r="BL43" s="68">
        <f t="shared" si="6"/>
        <v>173812.11</v>
      </c>
      <c r="BM43" s="68">
        <f t="shared" si="7"/>
        <v>217616.11</v>
      </c>
    </row>
    <row r="44" spans="1:65" ht="15" customHeight="1" x14ac:dyDescent="0.25">
      <c r="A44" s="20" t="s">
        <v>290</v>
      </c>
      <c r="B44" s="76"/>
      <c r="C44" s="76"/>
      <c r="D44" s="76"/>
      <c r="E44" s="76"/>
      <c r="F44" s="76"/>
      <c r="G44" s="76"/>
      <c r="H44" s="92">
        <v>2200</v>
      </c>
      <c r="I44" s="92">
        <v>1096</v>
      </c>
      <c r="J44" s="76"/>
      <c r="K44" s="76"/>
      <c r="L44" s="92">
        <v>755</v>
      </c>
      <c r="M44" s="92">
        <v>818</v>
      </c>
      <c r="N44" s="76"/>
      <c r="O44" s="76"/>
      <c r="P44" s="91">
        <v>121.82</v>
      </c>
      <c r="Q44" s="91">
        <v>95.46</v>
      </c>
      <c r="R44" s="92">
        <v>1094.57</v>
      </c>
      <c r="S44" s="92">
        <v>1005.67</v>
      </c>
      <c r="T44" s="92">
        <v>135</v>
      </c>
      <c r="U44" s="92">
        <v>73</v>
      </c>
      <c r="V44" s="92">
        <v>-7305</v>
      </c>
      <c r="W44" s="92">
        <v>-6067</v>
      </c>
      <c r="X44" s="92">
        <v>11857</v>
      </c>
      <c r="Y44" s="92">
        <v>9528</v>
      </c>
      <c r="Z44" s="92">
        <v>0</v>
      </c>
      <c r="AA44" s="92">
        <v>1717</v>
      </c>
      <c r="AB44" s="92">
        <v>33</v>
      </c>
      <c r="AC44" s="92">
        <v>17</v>
      </c>
      <c r="AD44" s="92">
        <v>704</v>
      </c>
      <c r="AE44" s="92">
        <v>613</v>
      </c>
      <c r="AF44" s="92">
        <v>-244.61</v>
      </c>
      <c r="AG44" s="92">
        <v>-234.35</v>
      </c>
      <c r="AH44" s="76"/>
      <c r="AI44" s="76"/>
      <c r="AJ44" s="76"/>
      <c r="AK44" s="76"/>
      <c r="AL44" s="92">
        <v>26523.94</v>
      </c>
      <c r="AM44" s="92">
        <v>29235.87</v>
      </c>
      <c r="AN44" s="76"/>
      <c r="AO44" s="92">
        <v>-3</v>
      </c>
      <c r="AP44" s="92">
        <v>93</v>
      </c>
      <c r="AQ44" s="92">
        <v>9</v>
      </c>
      <c r="AR44" s="76">
        <v>3118</v>
      </c>
      <c r="AS44" s="76">
        <v>2829</v>
      </c>
      <c r="AT44" s="92">
        <v>1117</v>
      </c>
      <c r="AU44" s="92">
        <v>923</v>
      </c>
      <c r="AV44" s="92">
        <v>1677</v>
      </c>
      <c r="AW44" s="92">
        <v>1097</v>
      </c>
      <c r="AX44" s="92">
        <v>1145</v>
      </c>
      <c r="AY44" s="92">
        <v>1221</v>
      </c>
      <c r="AZ44" s="76"/>
      <c r="BA44" s="76"/>
      <c r="BB44" s="92">
        <v>1277</v>
      </c>
      <c r="BC44" s="92">
        <v>914</v>
      </c>
      <c r="BD44" s="92">
        <v>69859</v>
      </c>
      <c r="BE44" s="92">
        <v>74135</v>
      </c>
      <c r="BF44" s="92">
        <v>0</v>
      </c>
      <c r="BG44" s="92">
        <v>44756</v>
      </c>
      <c r="BH44" s="92">
        <v>33045</v>
      </c>
      <c r="BI44" s="92">
        <v>43145</v>
      </c>
      <c r="BJ44" s="92"/>
      <c r="BK44" s="92">
        <v>527</v>
      </c>
      <c r="BL44" s="68">
        <f t="shared" si="6"/>
        <v>147205.72</v>
      </c>
      <c r="BM44" s="68">
        <f t="shared" si="7"/>
        <v>207450.65</v>
      </c>
    </row>
    <row r="45" spans="1:65" s="7" customFormat="1" x14ac:dyDescent="0.25">
      <c r="A45" s="3" t="s">
        <v>291</v>
      </c>
      <c r="B45" s="10"/>
      <c r="C45" s="10"/>
      <c r="D45" s="10"/>
      <c r="E45" s="10"/>
      <c r="F45" s="10"/>
      <c r="G45" s="10"/>
      <c r="H45" s="10">
        <v>360</v>
      </c>
      <c r="I45" s="10">
        <v>1423</v>
      </c>
      <c r="J45" s="10"/>
      <c r="K45" s="10"/>
      <c r="L45" s="10">
        <v>80</v>
      </c>
      <c r="M45" s="10">
        <v>313</v>
      </c>
      <c r="N45" s="10"/>
      <c r="O45" s="10"/>
      <c r="P45" s="131">
        <v>19.329999999999998</v>
      </c>
      <c r="Q45" s="131">
        <v>53.15</v>
      </c>
      <c r="R45" s="10">
        <v>217.88</v>
      </c>
      <c r="S45" s="10">
        <v>487.94</v>
      </c>
      <c r="T45" s="10">
        <v>-34</v>
      </c>
      <c r="U45" s="10">
        <v>38</v>
      </c>
      <c r="V45" s="10">
        <v>-769</v>
      </c>
      <c r="W45" s="10">
        <v>1853</v>
      </c>
      <c r="X45" s="10">
        <v>3072</v>
      </c>
      <c r="Y45" s="10">
        <v>7480</v>
      </c>
      <c r="Z45" s="10">
        <v>387</v>
      </c>
      <c r="AA45" s="10">
        <v>581</v>
      </c>
      <c r="AB45" s="10">
        <v>-4</v>
      </c>
      <c r="AC45" s="10">
        <v>12</v>
      </c>
      <c r="AD45" s="10">
        <v>19</v>
      </c>
      <c r="AE45" s="10">
        <v>348</v>
      </c>
      <c r="AF45" s="10">
        <v>-17.25</v>
      </c>
      <c r="AG45" s="10">
        <v>0.36</v>
      </c>
      <c r="AH45" s="10"/>
      <c r="AI45" s="10"/>
      <c r="AJ45" s="10"/>
      <c r="AK45" s="10"/>
      <c r="AL45" s="10">
        <v>2648.42</v>
      </c>
      <c r="AM45" s="10">
        <v>2597.83</v>
      </c>
      <c r="AN45" s="10"/>
      <c r="AO45" s="10">
        <v>-3</v>
      </c>
      <c r="AP45" s="10">
        <v>-34</v>
      </c>
      <c r="AQ45" s="10">
        <v>56</v>
      </c>
      <c r="AR45" s="10">
        <v>505</v>
      </c>
      <c r="AS45" s="10">
        <v>1607</v>
      </c>
      <c r="AT45" s="10">
        <v>-37</v>
      </c>
      <c r="AU45" s="10">
        <v>334</v>
      </c>
      <c r="AV45" s="10">
        <v>197</v>
      </c>
      <c r="AW45" s="10">
        <v>1317</v>
      </c>
      <c r="AX45" s="10">
        <v>253</v>
      </c>
      <c r="AY45" s="10">
        <v>509</v>
      </c>
      <c r="AZ45" s="10"/>
      <c r="BA45" s="10"/>
      <c r="BB45" s="10">
        <v>202</v>
      </c>
      <c r="BC45" s="10">
        <v>806</v>
      </c>
      <c r="BD45" s="10">
        <v>14876</v>
      </c>
      <c r="BE45" s="10">
        <v>22519</v>
      </c>
      <c r="BF45" s="10">
        <v>4476</v>
      </c>
      <c r="BG45" s="10">
        <v>4564</v>
      </c>
      <c r="BH45" s="10">
        <v>7048</v>
      </c>
      <c r="BI45" s="10">
        <v>3963</v>
      </c>
      <c r="BJ45" s="10">
        <v>6</v>
      </c>
      <c r="BK45" s="10">
        <v>-105</v>
      </c>
      <c r="BL45" s="63">
        <f t="shared" si="6"/>
        <v>33471.380000000005</v>
      </c>
      <c r="BM45" s="63">
        <f t="shared" si="7"/>
        <v>50754.28</v>
      </c>
    </row>
    <row r="46" spans="1:65" x14ac:dyDescent="0.25">
      <c r="A46" s="28"/>
    </row>
    <row r="47" spans="1:65" x14ac:dyDescent="0.25">
      <c r="A47" s="29" t="s">
        <v>186</v>
      </c>
    </row>
    <row r="48" spans="1:65" x14ac:dyDescent="0.25">
      <c r="A48" s="3" t="s">
        <v>0</v>
      </c>
      <c r="B48" s="153" t="s">
        <v>1</v>
      </c>
      <c r="C48" s="154"/>
      <c r="D48" s="153" t="s">
        <v>234</v>
      </c>
      <c r="E48" s="154"/>
      <c r="F48" s="153" t="s">
        <v>2</v>
      </c>
      <c r="G48" s="154"/>
      <c r="H48" s="153" t="s">
        <v>3</v>
      </c>
      <c r="I48" s="154"/>
      <c r="J48" s="153" t="s">
        <v>243</v>
      </c>
      <c r="K48" s="154"/>
      <c r="L48" s="153" t="s">
        <v>235</v>
      </c>
      <c r="M48" s="154"/>
      <c r="N48" s="153" t="s">
        <v>5</v>
      </c>
      <c r="O48" s="154"/>
      <c r="P48" s="153" t="s">
        <v>4</v>
      </c>
      <c r="Q48" s="154"/>
      <c r="R48" s="153" t="s">
        <v>6</v>
      </c>
      <c r="S48" s="154"/>
      <c r="T48" s="153" t="s">
        <v>246</v>
      </c>
      <c r="U48" s="154"/>
      <c r="V48" s="153" t="s">
        <v>7</v>
      </c>
      <c r="W48" s="154"/>
      <c r="X48" s="153" t="s">
        <v>8</v>
      </c>
      <c r="Y48" s="154"/>
      <c r="Z48" s="153" t="s">
        <v>9</v>
      </c>
      <c r="AA48" s="154"/>
      <c r="AB48" s="153" t="s">
        <v>242</v>
      </c>
      <c r="AC48" s="154"/>
      <c r="AD48" s="153" t="s">
        <v>10</v>
      </c>
      <c r="AE48" s="154"/>
      <c r="AF48" s="153" t="s">
        <v>11</v>
      </c>
      <c r="AG48" s="154"/>
      <c r="AH48" s="153" t="s">
        <v>236</v>
      </c>
      <c r="AI48" s="154"/>
      <c r="AJ48" s="153" t="s">
        <v>245</v>
      </c>
      <c r="AK48" s="154"/>
      <c r="AL48" s="153" t="s">
        <v>12</v>
      </c>
      <c r="AM48" s="154"/>
      <c r="AN48" s="153" t="s">
        <v>237</v>
      </c>
      <c r="AO48" s="154"/>
      <c r="AP48" s="153" t="s">
        <v>238</v>
      </c>
      <c r="AQ48" s="154"/>
      <c r="AR48" s="153" t="s">
        <v>241</v>
      </c>
      <c r="AS48" s="154"/>
      <c r="AT48" s="153" t="s">
        <v>13</v>
      </c>
      <c r="AU48" s="154"/>
      <c r="AV48" s="153" t="s">
        <v>14</v>
      </c>
      <c r="AW48" s="154"/>
      <c r="AX48" s="153" t="s">
        <v>15</v>
      </c>
      <c r="AY48" s="154"/>
      <c r="AZ48" s="153" t="s">
        <v>16</v>
      </c>
      <c r="BA48" s="154"/>
      <c r="BB48" s="153" t="s">
        <v>17</v>
      </c>
      <c r="BC48" s="154"/>
      <c r="BD48" s="153" t="s">
        <v>239</v>
      </c>
      <c r="BE48" s="154"/>
      <c r="BF48" s="153" t="s">
        <v>240</v>
      </c>
      <c r="BG48" s="154"/>
      <c r="BH48" s="153" t="s">
        <v>18</v>
      </c>
      <c r="BI48" s="154"/>
      <c r="BJ48" s="153" t="s">
        <v>19</v>
      </c>
      <c r="BK48" s="154"/>
      <c r="BL48" s="155" t="s">
        <v>20</v>
      </c>
      <c r="BM48" s="156"/>
    </row>
    <row r="49" spans="1:65" ht="30" x14ac:dyDescent="0.25">
      <c r="A49" s="3"/>
      <c r="B49" s="53" t="s">
        <v>303</v>
      </c>
      <c r="C49" s="54" t="s">
        <v>302</v>
      </c>
      <c r="D49" s="53" t="s">
        <v>303</v>
      </c>
      <c r="E49" s="54" t="s">
        <v>302</v>
      </c>
      <c r="F49" s="53" t="s">
        <v>303</v>
      </c>
      <c r="G49" s="54" t="s">
        <v>302</v>
      </c>
      <c r="H49" s="53" t="s">
        <v>303</v>
      </c>
      <c r="I49" s="54" t="s">
        <v>302</v>
      </c>
      <c r="J49" s="53" t="s">
        <v>303</v>
      </c>
      <c r="K49" s="54" t="s">
        <v>302</v>
      </c>
      <c r="L49" s="53" t="s">
        <v>303</v>
      </c>
      <c r="M49" s="54" t="s">
        <v>302</v>
      </c>
      <c r="N49" s="53" t="s">
        <v>303</v>
      </c>
      <c r="O49" s="54" t="s">
        <v>302</v>
      </c>
      <c r="P49" s="53" t="s">
        <v>303</v>
      </c>
      <c r="Q49" s="54" t="s">
        <v>302</v>
      </c>
      <c r="R49" s="53" t="s">
        <v>303</v>
      </c>
      <c r="S49" s="54" t="s">
        <v>302</v>
      </c>
      <c r="T49" s="53" t="s">
        <v>303</v>
      </c>
      <c r="U49" s="54" t="s">
        <v>302</v>
      </c>
      <c r="V49" s="53" t="s">
        <v>303</v>
      </c>
      <c r="W49" s="54" t="s">
        <v>302</v>
      </c>
      <c r="X49" s="53" t="s">
        <v>303</v>
      </c>
      <c r="Y49" s="54" t="s">
        <v>302</v>
      </c>
      <c r="Z49" s="53" t="s">
        <v>303</v>
      </c>
      <c r="AA49" s="54" t="s">
        <v>302</v>
      </c>
      <c r="AB49" s="53" t="s">
        <v>303</v>
      </c>
      <c r="AC49" s="54" t="s">
        <v>302</v>
      </c>
      <c r="AD49" s="53" t="s">
        <v>303</v>
      </c>
      <c r="AE49" s="54" t="s">
        <v>302</v>
      </c>
      <c r="AF49" s="53" t="s">
        <v>303</v>
      </c>
      <c r="AG49" s="54" t="s">
        <v>302</v>
      </c>
      <c r="AH49" s="53" t="s">
        <v>303</v>
      </c>
      <c r="AI49" s="54" t="s">
        <v>302</v>
      </c>
      <c r="AJ49" s="53" t="s">
        <v>303</v>
      </c>
      <c r="AK49" s="54" t="s">
        <v>302</v>
      </c>
      <c r="AL49" s="53" t="s">
        <v>303</v>
      </c>
      <c r="AM49" s="54" t="s">
        <v>302</v>
      </c>
      <c r="AN49" s="53" t="s">
        <v>303</v>
      </c>
      <c r="AO49" s="54" t="s">
        <v>302</v>
      </c>
      <c r="AP49" s="53" t="s">
        <v>303</v>
      </c>
      <c r="AQ49" s="54" t="s">
        <v>302</v>
      </c>
      <c r="AR49" s="53" t="s">
        <v>303</v>
      </c>
      <c r="AS49" s="54" t="s">
        <v>302</v>
      </c>
      <c r="AT49" s="53" t="s">
        <v>303</v>
      </c>
      <c r="AU49" s="54" t="s">
        <v>302</v>
      </c>
      <c r="AV49" s="53" t="s">
        <v>303</v>
      </c>
      <c r="AW49" s="54" t="s">
        <v>302</v>
      </c>
      <c r="AX49" s="53" t="s">
        <v>303</v>
      </c>
      <c r="AY49" s="54" t="s">
        <v>302</v>
      </c>
      <c r="AZ49" s="53" t="s">
        <v>303</v>
      </c>
      <c r="BA49" s="54" t="s">
        <v>302</v>
      </c>
      <c r="BB49" s="53" t="s">
        <v>303</v>
      </c>
      <c r="BC49" s="54" t="s">
        <v>302</v>
      </c>
      <c r="BD49" s="53" t="s">
        <v>303</v>
      </c>
      <c r="BE49" s="54" t="s">
        <v>302</v>
      </c>
      <c r="BF49" s="53" t="s">
        <v>303</v>
      </c>
      <c r="BG49" s="54" t="s">
        <v>302</v>
      </c>
      <c r="BH49" s="53" t="s">
        <v>303</v>
      </c>
      <c r="BI49" s="54" t="s">
        <v>302</v>
      </c>
      <c r="BJ49" s="53" t="s">
        <v>303</v>
      </c>
      <c r="BK49" s="54" t="s">
        <v>302</v>
      </c>
      <c r="BL49" s="105" t="s">
        <v>303</v>
      </c>
      <c r="BM49" s="106" t="s">
        <v>302</v>
      </c>
    </row>
    <row r="50" spans="1:65" x14ac:dyDescent="0.25">
      <c r="A50" s="20" t="s">
        <v>285</v>
      </c>
      <c r="B50" s="92">
        <v>8135</v>
      </c>
      <c r="C50" s="92">
        <v>20416</v>
      </c>
      <c r="D50" s="71">
        <v>22395</v>
      </c>
      <c r="E50" s="92">
        <v>74545</v>
      </c>
      <c r="F50" s="76"/>
      <c r="G50" s="76"/>
      <c r="H50" s="92">
        <v>70062</v>
      </c>
      <c r="I50" s="92">
        <v>191410</v>
      </c>
      <c r="J50" s="92">
        <v>53699</v>
      </c>
      <c r="K50" s="92">
        <v>159780</v>
      </c>
      <c r="L50" s="92">
        <v>12741</v>
      </c>
      <c r="M50" s="92">
        <v>52445</v>
      </c>
      <c r="N50" s="76"/>
      <c r="O50" s="76"/>
      <c r="P50" s="91">
        <v>2489.67</v>
      </c>
      <c r="Q50" s="91">
        <v>8988.9699999999993</v>
      </c>
      <c r="R50" s="92">
        <v>10876.83</v>
      </c>
      <c r="S50" s="92">
        <v>41476.58</v>
      </c>
      <c r="T50" s="92">
        <v>3199</v>
      </c>
      <c r="U50" s="92">
        <v>11802</v>
      </c>
      <c r="V50" s="92">
        <v>106833</v>
      </c>
      <c r="W50" s="92">
        <v>301167</v>
      </c>
      <c r="X50" s="92">
        <v>85627</v>
      </c>
      <c r="Y50" s="92">
        <v>238800</v>
      </c>
      <c r="Z50" s="92">
        <v>48205</v>
      </c>
      <c r="AA50" s="92">
        <v>158039</v>
      </c>
      <c r="AB50" s="92">
        <v>3167</v>
      </c>
      <c r="AC50" s="92">
        <v>9451</v>
      </c>
      <c r="AD50" s="92">
        <v>4835</v>
      </c>
      <c r="AE50" s="92">
        <v>15281</v>
      </c>
      <c r="AF50" s="92">
        <v>1684.88</v>
      </c>
      <c r="AG50" s="92">
        <v>4533.07</v>
      </c>
      <c r="AH50" s="92">
        <v>16090.21</v>
      </c>
      <c r="AI50" s="92">
        <v>50418.7</v>
      </c>
      <c r="AJ50" s="92">
        <v>33087</v>
      </c>
      <c r="AK50" s="92">
        <v>101376</v>
      </c>
      <c r="AL50" s="92">
        <v>166307.79</v>
      </c>
      <c r="AM50" s="92">
        <v>506810.6</v>
      </c>
      <c r="AN50" s="92">
        <v>327</v>
      </c>
      <c r="AO50" s="92">
        <v>613</v>
      </c>
      <c r="AP50" s="92">
        <v>88</v>
      </c>
      <c r="AQ50" s="92">
        <v>1389</v>
      </c>
      <c r="AR50" s="76">
        <v>19326</v>
      </c>
      <c r="AS50" s="76">
        <v>70144</v>
      </c>
      <c r="AT50" s="92">
        <v>7990</v>
      </c>
      <c r="AU50" s="92">
        <v>26410</v>
      </c>
      <c r="AV50" s="92">
        <v>50077</v>
      </c>
      <c r="AW50" s="92">
        <v>107706</v>
      </c>
      <c r="AX50" s="76"/>
      <c r="AY50" s="76"/>
      <c r="AZ50" s="92">
        <v>256182</v>
      </c>
      <c r="BA50" s="92">
        <v>693019</v>
      </c>
      <c r="BB50" s="92">
        <v>24615</v>
      </c>
      <c r="BC50" s="92">
        <v>66002</v>
      </c>
      <c r="BD50" s="92">
        <v>396506</v>
      </c>
      <c r="BE50" s="92">
        <v>1194132</v>
      </c>
      <c r="BF50" s="92">
        <v>194012</v>
      </c>
      <c r="BG50" s="92">
        <v>559237</v>
      </c>
      <c r="BH50" s="92">
        <v>191809</v>
      </c>
      <c r="BI50" s="92">
        <v>556910</v>
      </c>
      <c r="BJ50" s="92">
        <v>7768</v>
      </c>
      <c r="BK50" s="92">
        <v>22822</v>
      </c>
      <c r="BL50" s="68">
        <f t="shared" ref="BL50:BL56" si="8">SUM(B50+D50+F50+H50+J50+L50+N50+P50+R50+T50+V50+X50+Z50+AB50+AD50+AF50+AH50+AJ50+AL50+AN50+AP50+AR50+AT50+AV50+AX50+AZ50+BB50+BD50+BF50+BH50+BJ50)</f>
        <v>1798134.38</v>
      </c>
      <c r="BM50" s="68">
        <f t="shared" ref="BM50:BM56" si="9">SUM(C50+E50+G50+I50+K50+M50+O50+Q50+S50+U50+W50+Y50+AA50+AC50+AE50+AG50+AI50+AK50+AM50+AO50+AQ50+AS50+AU50+AW50+AY50+BA50+BC50+BE50+BG50+BI50+BK50)</f>
        <v>5245123.92</v>
      </c>
    </row>
    <row r="51" spans="1:65" x14ac:dyDescent="0.25">
      <c r="A51" s="20" t="s">
        <v>286</v>
      </c>
      <c r="B51" s="92"/>
      <c r="C51" s="92"/>
      <c r="D51" s="92"/>
      <c r="E51" s="92"/>
      <c r="F51" s="76"/>
      <c r="G51" s="76"/>
      <c r="H51" s="92"/>
      <c r="I51" s="92">
        <v>0</v>
      </c>
      <c r="J51" s="92">
        <v>1251</v>
      </c>
      <c r="K51" s="92">
        <v>1118</v>
      </c>
      <c r="L51" s="92"/>
      <c r="M51" s="92"/>
      <c r="N51" s="76"/>
      <c r="O51" s="76"/>
      <c r="P51" s="91">
        <v>161.44</v>
      </c>
      <c r="Q51" s="91">
        <v>333.32</v>
      </c>
      <c r="R51" s="92"/>
      <c r="S51" s="92"/>
      <c r="T51" s="92"/>
      <c r="U51" s="92"/>
      <c r="V51" s="92"/>
      <c r="W51" s="92"/>
      <c r="X51" s="92">
        <v>3088</v>
      </c>
      <c r="Y51" s="92">
        <v>6895</v>
      </c>
      <c r="Z51" s="92">
        <v>17</v>
      </c>
      <c r="AA51" s="92">
        <v>17</v>
      </c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>
        <v>544.37</v>
      </c>
      <c r="AM51" s="92">
        <v>3780.32</v>
      </c>
      <c r="AN51" s="92"/>
      <c r="AO51" s="92"/>
      <c r="AP51" s="92"/>
      <c r="AQ51" s="92"/>
      <c r="AR51" s="76"/>
      <c r="AS51" s="76"/>
      <c r="AT51" s="92"/>
      <c r="AU51" s="92"/>
      <c r="AV51" s="92">
        <v>3476</v>
      </c>
      <c r="AW51" s="92">
        <v>3476</v>
      </c>
      <c r="AX51" s="76"/>
      <c r="AY51" s="76"/>
      <c r="AZ51" s="92"/>
      <c r="BA51" s="92"/>
      <c r="BB51" s="92"/>
      <c r="BC51" s="92"/>
      <c r="BD51" s="92">
        <v>3521</v>
      </c>
      <c r="BE51" s="92">
        <v>3521</v>
      </c>
      <c r="BF51" s="92">
        <v>0</v>
      </c>
      <c r="BG51" s="92">
        <v>2589</v>
      </c>
      <c r="BH51" s="92">
        <v>0</v>
      </c>
      <c r="BI51" s="92">
        <v>0</v>
      </c>
      <c r="BJ51" s="92"/>
      <c r="BK51" s="92"/>
      <c r="BL51" s="68">
        <f t="shared" si="8"/>
        <v>12058.810000000001</v>
      </c>
      <c r="BM51" s="68">
        <f t="shared" si="9"/>
        <v>21729.64</v>
      </c>
    </row>
    <row r="52" spans="1:65" x14ac:dyDescent="0.25">
      <c r="A52" s="20" t="s">
        <v>287</v>
      </c>
      <c r="B52" s="92">
        <v>407</v>
      </c>
      <c r="C52" s="92">
        <v>1021</v>
      </c>
      <c r="D52" s="92">
        <v>4475</v>
      </c>
      <c r="E52" s="92">
        <v>12148</v>
      </c>
      <c r="F52" s="76"/>
      <c r="G52" s="76"/>
      <c r="H52" s="92">
        <v>-26471</v>
      </c>
      <c r="I52" s="92">
        <v>-54366</v>
      </c>
      <c r="J52" s="92">
        <v>14074</v>
      </c>
      <c r="K52" s="92">
        <v>43428</v>
      </c>
      <c r="L52" s="92">
        <v>2177</v>
      </c>
      <c r="M52" s="92">
        <v>6071</v>
      </c>
      <c r="N52" s="76"/>
      <c r="O52" s="76"/>
      <c r="P52" s="91">
        <v>165.76</v>
      </c>
      <c r="Q52" s="91">
        <v>548.91999999999996</v>
      </c>
      <c r="R52" s="92">
        <v>5211.8999999999996</v>
      </c>
      <c r="S52" s="92">
        <v>12902.98</v>
      </c>
      <c r="T52" s="92">
        <v>209</v>
      </c>
      <c r="U52" s="92">
        <v>1885</v>
      </c>
      <c r="V52" s="92">
        <v>-28589</v>
      </c>
      <c r="W52" s="92">
        <v>-68107</v>
      </c>
      <c r="X52" s="92">
        <v>11074</v>
      </c>
      <c r="Y52" s="92">
        <v>30087</v>
      </c>
      <c r="Z52" s="92">
        <v>2956</v>
      </c>
      <c r="AA52" s="92">
        <v>17591</v>
      </c>
      <c r="AB52" s="92">
        <v>284</v>
      </c>
      <c r="AC52" s="92">
        <v>643</v>
      </c>
      <c r="AD52" s="92">
        <v>245</v>
      </c>
      <c r="AE52" s="92">
        <v>832</v>
      </c>
      <c r="AF52" s="92">
        <v>-142.37</v>
      </c>
      <c r="AG52" s="92">
        <v>-371.82</v>
      </c>
      <c r="AH52" s="92">
        <v>803.4</v>
      </c>
      <c r="AI52" s="92">
        <v>2519.33</v>
      </c>
      <c r="AJ52" s="92">
        <v>7236</v>
      </c>
      <c r="AK52" s="92">
        <v>22442</v>
      </c>
      <c r="AL52" s="92">
        <v>12028.35</v>
      </c>
      <c r="AM52" s="92">
        <v>39257.339999999997</v>
      </c>
      <c r="AN52" s="92">
        <v>-24</v>
      </c>
      <c r="AO52" s="92">
        <v>-62</v>
      </c>
      <c r="AP52" s="92">
        <v>4</v>
      </c>
      <c r="AQ52" s="92">
        <v>69</v>
      </c>
      <c r="AR52" s="76">
        <v>3002</v>
      </c>
      <c r="AS52" s="76">
        <v>10710</v>
      </c>
      <c r="AT52" s="92">
        <v>1064</v>
      </c>
      <c r="AU52" s="92">
        <v>4479</v>
      </c>
      <c r="AV52" s="92">
        <v>15954</v>
      </c>
      <c r="AW52" s="92">
        <v>19081</v>
      </c>
      <c r="AX52" s="76"/>
      <c r="AY52" s="76"/>
      <c r="AZ52" s="92">
        <v>13192</v>
      </c>
      <c r="BA52" s="92">
        <v>37221</v>
      </c>
      <c r="BB52" s="92">
        <v>1673</v>
      </c>
      <c r="BC52" s="92">
        <v>4406</v>
      </c>
      <c r="BD52" s="92">
        <v>1516</v>
      </c>
      <c r="BE52" s="92">
        <v>95269</v>
      </c>
      <c r="BF52" s="92">
        <v>8635</v>
      </c>
      <c r="BG52" s="92">
        <v>25984</v>
      </c>
      <c r="BH52" s="92">
        <v>9863</v>
      </c>
      <c r="BI52" s="92">
        <v>32290</v>
      </c>
      <c r="BJ52" s="92">
        <v>389</v>
      </c>
      <c r="BK52" s="92">
        <v>1142</v>
      </c>
      <c r="BL52" s="68">
        <f t="shared" si="8"/>
        <v>61412.04</v>
      </c>
      <c r="BM52" s="68">
        <f t="shared" si="9"/>
        <v>299120.75</v>
      </c>
    </row>
    <row r="53" spans="1:65" s="7" customFormat="1" x14ac:dyDescent="0.25">
      <c r="A53" s="3" t="s">
        <v>288</v>
      </c>
      <c r="B53" s="10">
        <v>7729</v>
      </c>
      <c r="C53" s="10">
        <v>19395</v>
      </c>
      <c r="D53" s="10">
        <v>17920</v>
      </c>
      <c r="E53" s="10">
        <v>62397</v>
      </c>
      <c r="F53" s="10"/>
      <c r="G53" s="10"/>
      <c r="H53" s="10">
        <v>43591</v>
      </c>
      <c r="I53" s="10">
        <v>137044</v>
      </c>
      <c r="J53" s="10">
        <v>40876</v>
      </c>
      <c r="K53" s="10">
        <v>117470</v>
      </c>
      <c r="L53" s="10">
        <v>10564</v>
      </c>
      <c r="M53" s="10">
        <v>46374</v>
      </c>
      <c r="N53" s="10"/>
      <c r="O53" s="10"/>
      <c r="P53" s="131">
        <v>2485.35</v>
      </c>
      <c r="Q53" s="131">
        <v>8773.3700000000008</v>
      </c>
      <c r="R53" s="10">
        <v>5664.94</v>
      </c>
      <c r="S53" s="10">
        <v>28573.599999999999</v>
      </c>
      <c r="T53" s="10">
        <v>2990</v>
      </c>
      <c r="U53" s="10">
        <v>9917</v>
      </c>
      <c r="V53" s="10">
        <v>78244</v>
      </c>
      <c r="W53" s="10">
        <v>233064</v>
      </c>
      <c r="X53" s="10">
        <v>77641</v>
      </c>
      <c r="Y53" s="10">
        <v>215608</v>
      </c>
      <c r="Z53" s="10">
        <v>45266</v>
      </c>
      <c r="AA53" s="10">
        <v>140465</v>
      </c>
      <c r="AB53" s="10">
        <v>2883</v>
      </c>
      <c r="AC53" s="10">
        <v>8808</v>
      </c>
      <c r="AD53" s="10">
        <v>4590</v>
      </c>
      <c r="AE53" s="10">
        <v>14449</v>
      </c>
      <c r="AF53" s="10">
        <v>1542.51</v>
      </c>
      <c r="AG53" s="10">
        <v>4161.25</v>
      </c>
      <c r="AH53" s="10">
        <v>15286.81</v>
      </c>
      <c r="AI53" s="10">
        <v>47899.37</v>
      </c>
      <c r="AJ53" s="10">
        <v>25851</v>
      </c>
      <c r="AK53" s="10">
        <v>78935</v>
      </c>
      <c r="AL53" s="10">
        <v>154823.81</v>
      </c>
      <c r="AM53" s="10">
        <v>471333.59</v>
      </c>
      <c r="AN53" s="10">
        <v>303</v>
      </c>
      <c r="AO53" s="10">
        <v>551</v>
      </c>
      <c r="AP53" s="10">
        <v>84</v>
      </c>
      <c r="AQ53" s="10">
        <v>1320</v>
      </c>
      <c r="AR53" s="10">
        <v>16325</v>
      </c>
      <c r="AS53" s="10">
        <v>59434</v>
      </c>
      <c r="AT53" s="10">
        <v>6927</v>
      </c>
      <c r="AU53" s="10">
        <v>21931</v>
      </c>
      <c r="AV53" s="10">
        <v>37599</v>
      </c>
      <c r="AW53" s="10">
        <v>92102</v>
      </c>
      <c r="AX53" s="10"/>
      <c r="AY53" s="10"/>
      <c r="AZ53" s="10">
        <v>242990</v>
      </c>
      <c r="BA53" s="10">
        <v>655798</v>
      </c>
      <c r="BB53" s="10">
        <v>22942</v>
      </c>
      <c r="BC53" s="10">
        <v>61596</v>
      </c>
      <c r="BD53" s="10">
        <v>398511</v>
      </c>
      <c r="BE53" s="10">
        <v>1102385</v>
      </c>
      <c r="BF53" s="10">
        <v>185378</v>
      </c>
      <c r="BG53" s="10">
        <v>535843</v>
      </c>
      <c r="BH53" s="10">
        <v>181946</v>
      </c>
      <c r="BI53" s="10">
        <v>524620</v>
      </c>
      <c r="BJ53" s="10">
        <v>7379</v>
      </c>
      <c r="BK53" s="10">
        <v>21681</v>
      </c>
      <c r="BL53" s="63">
        <f t="shared" si="8"/>
        <v>1638332.42</v>
      </c>
      <c r="BM53" s="63">
        <f t="shared" si="9"/>
        <v>4721928.18</v>
      </c>
    </row>
    <row r="54" spans="1:65" x14ac:dyDescent="0.25">
      <c r="A54" s="20" t="s">
        <v>289</v>
      </c>
      <c r="B54" s="92">
        <v>4682</v>
      </c>
      <c r="C54" s="92">
        <v>4682</v>
      </c>
      <c r="D54" s="92">
        <v>11686</v>
      </c>
      <c r="E54" s="92">
        <v>11686</v>
      </c>
      <c r="F54" s="76"/>
      <c r="G54" s="76"/>
      <c r="H54" s="92">
        <v>36284</v>
      </c>
      <c r="I54" s="92">
        <v>36284</v>
      </c>
      <c r="J54" s="92">
        <v>39850</v>
      </c>
      <c r="K54" s="92">
        <v>39850</v>
      </c>
      <c r="L54" s="92">
        <v>6567</v>
      </c>
      <c r="M54" s="92">
        <v>6567</v>
      </c>
      <c r="N54" s="76"/>
      <c r="O54" s="76"/>
      <c r="P54" s="91">
        <v>3213.1</v>
      </c>
      <c r="Q54" s="91">
        <v>3213.1</v>
      </c>
      <c r="R54" s="92">
        <v>6560.07</v>
      </c>
      <c r="S54" s="92">
        <v>6560.07</v>
      </c>
      <c r="T54" s="92">
        <v>5551</v>
      </c>
      <c r="U54" s="92">
        <v>5551</v>
      </c>
      <c r="V54" s="92">
        <v>55005</v>
      </c>
      <c r="W54" s="92">
        <v>55005</v>
      </c>
      <c r="X54" s="92">
        <v>77380</v>
      </c>
      <c r="Y54" s="92">
        <v>77380</v>
      </c>
      <c r="Z54" s="92">
        <v>-3311</v>
      </c>
      <c r="AA54" s="92">
        <v>19687</v>
      </c>
      <c r="AB54" s="92">
        <v>3532</v>
      </c>
      <c r="AC54" s="92">
        <v>3532</v>
      </c>
      <c r="AD54" s="92">
        <v>4854</v>
      </c>
      <c r="AE54" s="92">
        <v>4854</v>
      </c>
      <c r="AF54" s="92">
        <v>1935.19</v>
      </c>
      <c r="AG54" s="92">
        <v>1935.19</v>
      </c>
      <c r="AH54" s="92">
        <v>9932.2099999999991</v>
      </c>
      <c r="AI54" s="92">
        <v>9932.2099999999991</v>
      </c>
      <c r="AJ54" s="92">
        <v>23744</v>
      </c>
      <c r="AK54" s="92">
        <v>23744</v>
      </c>
      <c r="AL54" s="92">
        <v>132164.48000000001</v>
      </c>
      <c r="AM54" s="92">
        <v>132164.48000000001</v>
      </c>
      <c r="AN54" s="92">
        <v>456</v>
      </c>
      <c r="AO54" s="92">
        <v>456</v>
      </c>
      <c r="AP54" s="92">
        <v>183</v>
      </c>
      <c r="AQ54" s="92">
        <v>183</v>
      </c>
      <c r="AR54" s="76">
        <v>29808</v>
      </c>
      <c r="AS54" s="76">
        <v>29808</v>
      </c>
      <c r="AT54" s="92">
        <v>7901</v>
      </c>
      <c r="AU54" s="92">
        <v>7901</v>
      </c>
      <c r="AV54" s="92">
        <v>33009</v>
      </c>
      <c r="AW54" s="92">
        <v>33009</v>
      </c>
      <c r="AX54" s="92">
        <v>304</v>
      </c>
      <c r="AY54" s="92">
        <v>304</v>
      </c>
      <c r="AZ54" s="92">
        <v>94941</v>
      </c>
      <c r="BA54" s="92">
        <v>94941</v>
      </c>
      <c r="BB54" s="92">
        <v>29545</v>
      </c>
      <c r="BC54" s="92">
        <v>29545</v>
      </c>
      <c r="BD54" s="92">
        <v>210299</v>
      </c>
      <c r="BE54" s="92">
        <v>210299</v>
      </c>
      <c r="BF54" s="92">
        <v>-9181</v>
      </c>
      <c r="BG54" s="92">
        <v>145104</v>
      </c>
      <c r="BH54" s="92">
        <v>148791</v>
      </c>
      <c r="BI54" s="92">
        <v>148791</v>
      </c>
      <c r="BJ54" s="92">
        <v>453</v>
      </c>
      <c r="BK54" s="92">
        <v>5320</v>
      </c>
      <c r="BL54" s="68">
        <f t="shared" si="8"/>
        <v>966138.05</v>
      </c>
      <c r="BM54" s="68">
        <f t="shared" si="9"/>
        <v>1148288.05</v>
      </c>
    </row>
    <row r="55" spans="1:65" ht="15" customHeight="1" x14ac:dyDescent="0.25">
      <c r="A55" s="20" t="s">
        <v>290</v>
      </c>
      <c r="B55" s="92">
        <v>4319</v>
      </c>
      <c r="C55" s="92">
        <v>1200</v>
      </c>
      <c r="D55" s="92">
        <v>11897</v>
      </c>
      <c r="E55" s="92">
        <v>13136</v>
      </c>
      <c r="F55" s="76"/>
      <c r="G55" s="76"/>
      <c r="H55" s="92">
        <v>38615</v>
      </c>
      <c r="I55" s="92">
        <v>35046</v>
      </c>
      <c r="J55" s="92">
        <v>39041</v>
      </c>
      <c r="K55" s="92">
        <v>30985</v>
      </c>
      <c r="L55" s="92">
        <v>9166</v>
      </c>
      <c r="M55" s="92">
        <v>8126</v>
      </c>
      <c r="N55" s="76"/>
      <c r="O55" s="76"/>
      <c r="P55" s="91">
        <v>3260.17</v>
      </c>
      <c r="Q55" s="91">
        <v>3463.69</v>
      </c>
      <c r="R55" s="92">
        <v>6043.88</v>
      </c>
      <c r="S55" s="92">
        <v>8205</v>
      </c>
      <c r="T55" s="92">
        <v>3317</v>
      </c>
      <c r="U55" s="92">
        <v>3090</v>
      </c>
      <c r="V55" s="92">
        <v>-71500</v>
      </c>
      <c r="W55" s="92">
        <v>-61988</v>
      </c>
      <c r="X55" s="92">
        <v>95226</v>
      </c>
      <c r="Y55" s="92">
        <v>62961</v>
      </c>
      <c r="Z55" s="92">
        <v>0</v>
      </c>
      <c r="AA55" s="92">
        <v>20934</v>
      </c>
      <c r="AB55" s="92">
        <v>3902</v>
      </c>
      <c r="AC55" s="92">
        <v>2565</v>
      </c>
      <c r="AD55" s="92">
        <v>4810</v>
      </c>
      <c r="AE55" s="92">
        <v>4308</v>
      </c>
      <c r="AF55" s="92">
        <v>-1896.71</v>
      </c>
      <c r="AG55" s="92">
        <v>-1508.78</v>
      </c>
      <c r="AH55" s="92">
        <v>11472.52</v>
      </c>
      <c r="AI55" s="92">
        <v>9212.2099999999991</v>
      </c>
      <c r="AJ55" s="92">
        <v>22830</v>
      </c>
      <c r="AK55" s="92">
        <v>21865</v>
      </c>
      <c r="AL55" s="92">
        <v>151835.82</v>
      </c>
      <c r="AM55" s="92">
        <v>92019.24</v>
      </c>
      <c r="AN55" s="92">
        <v>-387</v>
      </c>
      <c r="AO55" s="92">
        <v>-379</v>
      </c>
      <c r="AP55" s="92">
        <v>183</v>
      </c>
      <c r="AQ55" s="92">
        <v>603</v>
      </c>
      <c r="AR55" s="76">
        <v>29997</v>
      </c>
      <c r="AS55" s="76">
        <v>29824</v>
      </c>
      <c r="AT55" s="92">
        <v>8117</v>
      </c>
      <c r="AU55" s="92">
        <v>7255</v>
      </c>
      <c r="AV55" s="92">
        <v>34442</v>
      </c>
      <c r="AW55" s="92">
        <v>24418</v>
      </c>
      <c r="AX55" s="92">
        <v>217</v>
      </c>
      <c r="AY55" s="92">
        <v>62</v>
      </c>
      <c r="AZ55" s="92">
        <v>76894</v>
      </c>
      <c r="BA55" s="92">
        <v>81368</v>
      </c>
      <c r="BB55" s="92">
        <v>32571</v>
      </c>
      <c r="BC55" s="92">
        <v>24807</v>
      </c>
      <c r="BD55" s="92">
        <v>176760</v>
      </c>
      <c r="BE55" s="92">
        <v>154132</v>
      </c>
      <c r="BF55" s="92">
        <v>0</v>
      </c>
      <c r="BG55" s="92">
        <v>100550</v>
      </c>
      <c r="BH55" s="92">
        <v>162253</v>
      </c>
      <c r="BI55" s="92">
        <v>135869</v>
      </c>
      <c r="BJ55" s="92"/>
      <c r="BK55" s="92">
        <v>3231</v>
      </c>
      <c r="BL55" s="68">
        <f t="shared" si="8"/>
        <v>853385.67999999993</v>
      </c>
      <c r="BM55" s="68">
        <f t="shared" si="9"/>
        <v>815359.36</v>
      </c>
    </row>
    <row r="56" spans="1:65" s="7" customFormat="1" x14ac:dyDescent="0.25">
      <c r="A56" s="3" t="s">
        <v>291</v>
      </c>
      <c r="B56" s="10">
        <v>8092</v>
      </c>
      <c r="C56" s="10">
        <v>22877</v>
      </c>
      <c r="D56" s="10">
        <v>17709</v>
      </c>
      <c r="E56" s="10">
        <v>60947</v>
      </c>
      <c r="F56" s="10"/>
      <c r="G56" s="10"/>
      <c r="H56" s="10">
        <v>41260</v>
      </c>
      <c r="I56" s="10">
        <v>138283</v>
      </c>
      <c r="J56" s="10">
        <v>41685</v>
      </c>
      <c r="K56" s="10">
        <v>126335</v>
      </c>
      <c r="L56" s="10">
        <v>7965</v>
      </c>
      <c r="M56" s="10">
        <v>44815</v>
      </c>
      <c r="N56" s="10"/>
      <c r="O56" s="10"/>
      <c r="P56" s="131">
        <v>2438.2800000000002</v>
      </c>
      <c r="Q56" s="131">
        <v>8522.7800000000007</v>
      </c>
      <c r="R56" s="10">
        <v>6181.13</v>
      </c>
      <c r="S56" s="10">
        <v>26928.68</v>
      </c>
      <c r="T56" s="10">
        <v>5224</v>
      </c>
      <c r="U56" s="10">
        <v>12378</v>
      </c>
      <c r="V56" s="10">
        <v>61749</v>
      </c>
      <c r="W56" s="10">
        <v>211629</v>
      </c>
      <c r="X56" s="10">
        <v>59795</v>
      </c>
      <c r="Y56" s="10">
        <v>223824</v>
      </c>
      <c r="Z56" s="10">
        <v>41955</v>
      </c>
      <c r="AA56" s="10">
        <v>139218</v>
      </c>
      <c r="AB56" s="10">
        <v>2513</v>
      </c>
      <c r="AC56" s="10">
        <v>9774</v>
      </c>
      <c r="AD56" s="10">
        <v>4634</v>
      </c>
      <c r="AE56" s="10">
        <v>14995</v>
      </c>
      <c r="AF56" s="10">
        <v>1580.99</v>
      </c>
      <c r="AG56" s="10">
        <v>4587.66</v>
      </c>
      <c r="AH56" s="10">
        <v>13746.5</v>
      </c>
      <c r="AI56" s="10">
        <v>48619.38</v>
      </c>
      <c r="AJ56" s="10">
        <v>26765</v>
      </c>
      <c r="AK56" s="10">
        <v>80814</v>
      </c>
      <c r="AL56" s="10">
        <v>135152.47</v>
      </c>
      <c r="AM56" s="10">
        <v>511478.83</v>
      </c>
      <c r="AN56" s="10">
        <v>372</v>
      </c>
      <c r="AO56" s="10">
        <v>628</v>
      </c>
      <c r="AP56" s="10">
        <v>83</v>
      </c>
      <c r="AQ56" s="10">
        <v>900</v>
      </c>
      <c r="AR56" s="10">
        <v>16221</v>
      </c>
      <c r="AS56" s="10">
        <v>59419</v>
      </c>
      <c r="AT56" s="10">
        <v>6710</v>
      </c>
      <c r="AU56" s="10">
        <v>22577</v>
      </c>
      <c r="AV56" s="10">
        <v>36165</v>
      </c>
      <c r="AW56" s="10">
        <v>100692</v>
      </c>
      <c r="AX56" s="10">
        <v>86</v>
      </c>
      <c r="AY56" s="10">
        <v>241</v>
      </c>
      <c r="AZ56" s="10">
        <v>261038</v>
      </c>
      <c r="BA56" s="10">
        <v>669372</v>
      </c>
      <c r="BB56" s="10">
        <v>19915</v>
      </c>
      <c r="BC56" s="10">
        <v>66333</v>
      </c>
      <c r="BD56" s="10">
        <v>432050</v>
      </c>
      <c r="BE56" s="10">
        <v>1158551</v>
      </c>
      <c r="BF56" s="10">
        <v>176196</v>
      </c>
      <c r="BG56" s="10">
        <v>580396</v>
      </c>
      <c r="BH56" s="10">
        <v>168483</v>
      </c>
      <c r="BI56" s="10">
        <v>537542</v>
      </c>
      <c r="BJ56" s="10">
        <v>7832</v>
      </c>
      <c r="BK56" s="10">
        <v>23769</v>
      </c>
      <c r="BL56" s="63">
        <f t="shared" si="8"/>
        <v>1603596.37</v>
      </c>
      <c r="BM56" s="63">
        <f t="shared" si="9"/>
        <v>4906446.33</v>
      </c>
    </row>
    <row r="57" spans="1:65" x14ac:dyDescent="0.25">
      <c r="A57" s="13"/>
    </row>
    <row r="58" spans="1:65" x14ac:dyDescent="0.25">
      <c r="A58" s="27" t="s">
        <v>187</v>
      </c>
    </row>
    <row r="59" spans="1:65" x14ac:dyDescent="0.25">
      <c r="A59" s="3" t="s">
        <v>0</v>
      </c>
      <c r="B59" s="153" t="s">
        <v>1</v>
      </c>
      <c r="C59" s="154"/>
      <c r="D59" s="153" t="s">
        <v>234</v>
      </c>
      <c r="E59" s="154"/>
      <c r="F59" s="153" t="s">
        <v>2</v>
      </c>
      <c r="G59" s="154"/>
      <c r="H59" s="153" t="s">
        <v>3</v>
      </c>
      <c r="I59" s="154"/>
      <c r="J59" s="153" t="s">
        <v>243</v>
      </c>
      <c r="K59" s="154"/>
      <c r="L59" s="153" t="s">
        <v>235</v>
      </c>
      <c r="M59" s="154"/>
      <c r="N59" s="153" t="s">
        <v>5</v>
      </c>
      <c r="O59" s="154"/>
      <c r="P59" s="153" t="s">
        <v>4</v>
      </c>
      <c r="Q59" s="154"/>
      <c r="R59" s="153" t="s">
        <v>6</v>
      </c>
      <c r="S59" s="154"/>
      <c r="T59" s="153" t="s">
        <v>246</v>
      </c>
      <c r="U59" s="154"/>
      <c r="V59" s="153" t="s">
        <v>7</v>
      </c>
      <c r="W59" s="154"/>
      <c r="X59" s="153" t="s">
        <v>8</v>
      </c>
      <c r="Y59" s="154"/>
      <c r="Z59" s="153" t="s">
        <v>9</v>
      </c>
      <c r="AA59" s="154"/>
      <c r="AB59" s="153" t="s">
        <v>242</v>
      </c>
      <c r="AC59" s="154"/>
      <c r="AD59" s="153" t="s">
        <v>10</v>
      </c>
      <c r="AE59" s="154"/>
      <c r="AF59" s="153" t="s">
        <v>11</v>
      </c>
      <c r="AG59" s="154"/>
      <c r="AH59" s="153" t="s">
        <v>236</v>
      </c>
      <c r="AI59" s="154"/>
      <c r="AJ59" s="153" t="s">
        <v>245</v>
      </c>
      <c r="AK59" s="154"/>
      <c r="AL59" s="153" t="s">
        <v>12</v>
      </c>
      <c r="AM59" s="154"/>
      <c r="AN59" s="153" t="s">
        <v>237</v>
      </c>
      <c r="AO59" s="154"/>
      <c r="AP59" s="153" t="s">
        <v>238</v>
      </c>
      <c r="AQ59" s="154"/>
      <c r="AR59" s="153" t="s">
        <v>241</v>
      </c>
      <c r="AS59" s="154"/>
      <c r="AT59" s="153" t="s">
        <v>13</v>
      </c>
      <c r="AU59" s="154"/>
      <c r="AV59" s="153" t="s">
        <v>14</v>
      </c>
      <c r="AW59" s="154"/>
      <c r="AX59" s="153" t="s">
        <v>15</v>
      </c>
      <c r="AY59" s="154"/>
      <c r="AZ59" s="153" t="s">
        <v>16</v>
      </c>
      <c r="BA59" s="154"/>
      <c r="BB59" s="153" t="s">
        <v>17</v>
      </c>
      <c r="BC59" s="154"/>
      <c r="BD59" s="153" t="s">
        <v>239</v>
      </c>
      <c r="BE59" s="154"/>
      <c r="BF59" s="153" t="s">
        <v>240</v>
      </c>
      <c r="BG59" s="154"/>
      <c r="BH59" s="153" t="s">
        <v>18</v>
      </c>
      <c r="BI59" s="154"/>
      <c r="BJ59" s="153" t="s">
        <v>19</v>
      </c>
      <c r="BK59" s="154"/>
      <c r="BL59" s="155" t="s">
        <v>20</v>
      </c>
      <c r="BM59" s="156"/>
    </row>
    <row r="60" spans="1:65" ht="30" x14ac:dyDescent="0.25">
      <c r="A60" s="3"/>
      <c r="B60" s="53" t="s">
        <v>303</v>
      </c>
      <c r="C60" s="54" t="s">
        <v>302</v>
      </c>
      <c r="D60" s="53" t="s">
        <v>303</v>
      </c>
      <c r="E60" s="54" t="s">
        <v>302</v>
      </c>
      <c r="F60" s="53" t="s">
        <v>303</v>
      </c>
      <c r="G60" s="54" t="s">
        <v>302</v>
      </c>
      <c r="H60" s="53" t="s">
        <v>303</v>
      </c>
      <c r="I60" s="54" t="s">
        <v>302</v>
      </c>
      <c r="J60" s="53" t="s">
        <v>303</v>
      </c>
      <c r="K60" s="54" t="s">
        <v>302</v>
      </c>
      <c r="L60" s="53" t="s">
        <v>303</v>
      </c>
      <c r="M60" s="54" t="s">
        <v>302</v>
      </c>
      <c r="N60" s="53" t="s">
        <v>303</v>
      </c>
      <c r="O60" s="54" t="s">
        <v>302</v>
      </c>
      <c r="P60" s="53" t="s">
        <v>303</v>
      </c>
      <c r="Q60" s="54" t="s">
        <v>302</v>
      </c>
      <c r="R60" s="53" t="s">
        <v>303</v>
      </c>
      <c r="S60" s="54" t="s">
        <v>302</v>
      </c>
      <c r="T60" s="53" t="s">
        <v>303</v>
      </c>
      <c r="U60" s="54" t="s">
        <v>302</v>
      </c>
      <c r="V60" s="53" t="s">
        <v>303</v>
      </c>
      <c r="W60" s="54" t="s">
        <v>302</v>
      </c>
      <c r="X60" s="53" t="s">
        <v>303</v>
      </c>
      <c r="Y60" s="54" t="s">
        <v>302</v>
      </c>
      <c r="Z60" s="53" t="s">
        <v>303</v>
      </c>
      <c r="AA60" s="54" t="s">
        <v>302</v>
      </c>
      <c r="AB60" s="53" t="s">
        <v>303</v>
      </c>
      <c r="AC60" s="54" t="s">
        <v>302</v>
      </c>
      <c r="AD60" s="53" t="s">
        <v>303</v>
      </c>
      <c r="AE60" s="54" t="s">
        <v>302</v>
      </c>
      <c r="AF60" s="53" t="s">
        <v>303</v>
      </c>
      <c r="AG60" s="54" t="s">
        <v>302</v>
      </c>
      <c r="AH60" s="53" t="s">
        <v>303</v>
      </c>
      <c r="AI60" s="54" t="s">
        <v>302</v>
      </c>
      <c r="AJ60" s="53" t="s">
        <v>303</v>
      </c>
      <c r="AK60" s="54" t="s">
        <v>302</v>
      </c>
      <c r="AL60" s="53" t="s">
        <v>303</v>
      </c>
      <c r="AM60" s="54" t="s">
        <v>302</v>
      </c>
      <c r="AN60" s="53" t="s">
        <v>303</v>
      </c>
      <c r="AO60" s="54" t="s">
        <v>302</v>
      </c>
      <c r="AP60" s="53" t="s">
        <v>303</v>
      </c>
      <c r="AQ60" s="54" t="s">
        <v>302</v>
      </c>
      <c r="AR60" s="53" t="s">
        <v>303</v>
      </c>
      <c r="AS60" s="54" t="s">
        <v>302</v>
      </c>
      <c r="AT60" s="53" t="s">
        <v>303</v>
      </c>
      <c r="AU60" s="54" t="s">
        <v>302</v>
      </c>
      <c r="AV60" s="53" t="s">
        <v>303</v>
      </c>
      <c r="AW60" s="54" t="s">
        <v>302</v>
      </c>
      <c r="AX60" s="53" t="s">
        <v>303</v>
      </c>
      <c r="AY60" s="54" t="s">
        <v>302</v>
      </c>
      <c r="AZ60" s="53" t="s">
        <v>303</v>
      </c>
      <c r="BA60" s="54" t="s">
        <v>302</v>
      </c>
      <c r="BB60" s="53" t="s">
        <v>303</v>
      </c>
      <c r="BC60" s="54" t="s">
        <v>302</v>
      </c>
      <c r="BD60" s="53" t="s">
        <v>303</v>
      </c>
      <c r="BE60" s="54" t="s">
        <v>302</v>
      </c>
      <c r="BF60" s="53" t="s">
        <v>303</v>
      </c>
      <c r="BG60" s="54" t="s">
        <v>302</v>
      </c>
      <c r="BH60" s="53" t="s">
        <v>303</v>
      </c>
      <c r="BI60" s="54" t="s">
        <v>302</v>
      </c>
      <c r="BJ60" s="53" t="s">
        <v>303</v>
      </c>
      <c r="BK60" s="54" t="s">
        <v>302</v>
      </c>
      <c r="BL60" s="105" t="s">
        <v>303</v>
      </c>
      <c r="BM60" s="106" t="s">
        <v>302</v>
      </c>
    </row>
    <row r="61" spans="1:65" x14ac:dyDescent="0.25">
      <c r="A61" s="20" t="s">
        <v>285</v>
      </c>
      <c r="B61" s="92">
        <v>32</v>
      </c>
      <c r="C61" s="92">
        <v>114</v>
      </c>
      <c r="D61" s="92">
        <v>295</v>
      </c>
      <c r="E61" s="92">
        <v>867</v>
      </c>
      <c r="F61" s="76"/>
      <c r="G61" s="76"/>
      <c r="H61" s="92">
        <v>1945</v>
      </c>
      <c r="I61" s="92">
        <v>6305</v>
      </c>
      <c r="J61" s="92">
        <v>909</v>
      </c>
      <c r="K61" s="92">
        <v>2881</v>
      </c>
      <c r="L61" s="92">
        <v>1250</v>
      </c>
      <c r="M61" s="92">
        <v>4187</v>
      </c>
      <c r="N61" s="76"/>
      <c r="O61" s="76"/>
      <c r="P61" s="91">
        <v>85.82</v>
      </c>
      <c r="Q61" s="91">
        <v>191.9</v>
      </c>
      <c r="R61" s="92">
        <v>723.69</v>
      </c>
      <c r="S61" s="92">
        <v>2096.9899999999998</v>
      </c>
      <c r="T61" s="92">
        <v>1027</v>
      </c>
      <c r="U61" s="92">
        <v>1114</v>
      </c>
      <c r="V61" s="92">
        <v>5423</v>
      </c>
      <c r="W61" s="92">
        <v>13127</v>
      </c>
      <c r="X61" s="92">
        <v>4446</v>
      </c>
      <c r="Y61" s="92">
        <v>11780</v>
      </c>
      <c r="Z61" s="92">
        <v>1950</v>
      </c>
      <c r="AA61" s="92">
        <v>4887</v>
      </c>
      <c r="AB61" s="92">
        <v>72</v>
      </c>
      <c r="AC61" s="92">
        <v>321</v>
      </c>
      <c r="AD61" s="92">
        <v>265</v>
      </c>
      <c r="AE61" s="92">
        <v>869</v>
      </c>
      <c r="AF61" s="92">
        <v>23.25</v>
      </c>
      <c r="AG61" s="92">
        <v>126.56</v>
      </c>
      <c r="AH61" s="92">
        <v>34.950000000000003</v>
      </c>
      <c r="AI61" s="92">
        <v>103.62</v>
      </c>
      <c r="AJ61" s="92">
        <v>197</v>
      </c>
      <c r="AK61" s="92">
        <v>785</v>
      </c>
      <c r="AL61" s="92">
        <v>4246.1400000000003</v>
      </c>
      <c r="AM61" s="92">
        <v>13437.51</v>
      </c>
      <c r="AN61" s="92">
        <v>111</v>
      </c>
      <c r="AO61" s="92">
        <v>195</v>
      </c>
      <c r="AP61" s="92">
        <v>0</v>
      </c>
      <c r="AQ61" s="92">
        <v>314</v>
      </c>
      <c r="AR61" s="76">
        <v>1229</v>
      </c>
      <c r="AS61" s="76">
        <v>2452</v>
      </c>
      <c r="AT61" s="92">
        <v>648</v>
      </c>
      <c r="AU61" s="92">
        <v>1597</v>
      </c>
      <c r="AV61" s="92">
        <v>8446</v>
      </c>
      <c r="AW61" s="92">
        <v>20512</v>
      </c>
      <c r="AX61" s="92">
        <v>193</v>
      </c>
      <c r="AY61" s="92">
        <v>624</v>
      </c>
      <c r="AZ61" s="92">
        <v>1477</v>
      </c>
      <c r="BA61" s="92">
        <v>4348</v>
      </c>
      <c r="BB61" s="92">
        <v>2174</v>
      </c>
      <c r="BC61" s="92">
        <v>5064</v>
      </c>
      <c r="BD61" s="92">
        <v>20570</v>
      </c>
      <c r="BE61" s="92">
        <v>84907</v>
      </c>
      <c r="BF61" s="92">
        <v>5775</v>
      </c>
      <c r="BG61" s="92">
        <v>14255</v>
      </c>
      <c r="BH61" s="92">
        <v>11875</v>
      </c>
      <c r="BI61" s="92">
        <v>33017</v>
      </c>
      <c r="BJ61" s="92">
        <v>22822</v>
      </c>
      <c r="BK61" s="92">
        <v>11725</v>
      </c>
      <c r="BL61" s="68">
        <f t="shared" ref="BL61:BL67" si="10">SUM(B61+D61+F61+H61+J61+L61+N61+P61+R61+T61+V61+X61+Z61+AB61+AD61+AF61+AH61+AJ61+AL61+AN61+AP61+AR61+AT61+AV61+AX61+AZ61+BB61+BD61+BF61+BH61+BJ61)</f>
        <v>98244.85</v>
      </c>
      <c r="BM61" s="68">
        <f t="shared" ref="BM61:BM67" si="11">SUM(C61+E61+G61+I61+K61+M61+O61+Q61+S61+U61+W61+Y61+AA61+AC61+AE61+AG61+AI61+AK61+AM61+AO61+AQ61+AS61+AU61+AW61+AY61+BA61+BC61+BE61+BG61+BI61+BK61)</f>
        <v>242203.58000000002</v>
      </c>
    </row>
    <row r="62" spans="1:65" x14ac:dyDescent="0.25">
      <c r="A62" s="20" t="s">
        <v>286</v>
      </c>
      <c r="B62" s="92"/>
      <c r="C62" s="92"/>
      <c r="D62" s="92"/>
      <c r="E62" s="92"/>
      <c r="F62" s="76"/>
      <c r="G62" s="76"/>
      <c r="H62" s="92"/>
      <c r="I62" s="92">
        <v>0</v>
      </c>
      <c r="J62" s="92"/>
      <c r="K62" s="92"/>
      <c r="L62" s="92"/>
      <c r="M62" s="92"/>
      <c r="N62" s="76"/>
      <c r="O62" s="76"/>
      <c r="P62" s="91">
        <v>26.91</v>
      </c>
      <c r="Q62" s="91">
        <v>42.63</v>
      </c>
      <c r="R62" s="92"/>
      <c r="S62" s="92"/>
      <c r="T62" s="92"/>
      <c r="U62" s="92"/>
      <c r="V62" s="92">
        <v>22</v>
      </c>
      <c r="W62" s="92">
        <v>22</v>
      </c>
      <c r="X62" s="92"/>
      <c r="Y62" s="92"/>
      <c r="Z62" s="92"/>
      <c r="AA62" s="92"/>
      <c r="AB62" s="92"/>
      <c r="AC62" s="92"/>
      <c r="AD62" s="92"/>
      <c r="AE62" s="92"/>
      <c r="AF62" s="92">
        <v>6.51</v>
      </c>
      <c r="AG62" s="92">
        <v>6.51</v>
      </c>
      <c r="AH62" s="92"/>
      <c r="AI62" s="92"/>
      <c r="AJ62" s="92"/>
      <c r="AK62" s="92"/>
      <c r="AL62" s="92"/>
      <c r="AM62" s="92"/>
      <c r="AN62" s="92"/>
      <c r="AO62" s="92"/>
      <c r="AP62" s="92">
        <v>0</v>
      </c>
      <c r="AQ62" s="92">
        <v>0</v>
      </c>
      <c r="AR62" s="76"/>
      <c r="AS62" s="76"/>
      <c r="AT62" s="92">
        <v>16</v>
      </c>
      <c r="AU62" s="92">
        <v>167</v>
      </c>
      <c r="AV62" s="92"/>
      <c r="AW62" s="92"/>
      <c r="AX62" s="92"/>
      <c r="AY62" s="92"/>
      <c r="AZ62" s="92"/>
      <c r="BA62" s="92"/>
      <c r="BB62" s="92">
        <v>2</v>
      </c>
      <c r="BC62" s="92">
        <v>25</v>
      </c>
      <c r="BD62" s="92">
        <v>389</v>
      </c>
      <c r="BE62" s="92">
        <v>389</v>
      </c>
      <c r="BF62" s="92">
        <v>3</v>
      </c>
      <c r="BG62" s="92">
        <v>53</v>
      </c>
      <c r="BH62" s="92">
        <v>0</v>
      </c>
      <c r="BI62" s="92">
        <v>44</v>
      </c>
      <c r="BJ62" s="92"/>
      <c r="BK62" s="92"/>
      <c r="BL62" s="68">
        <f t="shared" si="10"/>
        <v>465.41999999999996</v>
      </c>
      <c r="BM62" s="68">
        <f t="shared" si="11"/>
        <v>749.14</v>
      </c>
    </row>
    <row r="63" spans="1:65" x14ac:dyDescent="0.25">
      <c r="A63" s="20" t="s">
        <v>287</v>
      </c>
      <c r="B63" s="92">
        <v>2</v>
      </c>
      <c r="C63" s="92">
        <v>6</v>
      </c>
      <c r="D63" s="92">
        <v>15</v>
      </c>
      <c r="E63" s="92">
        <v>58</v>
      </c>
      <c r="F63" s="76"/>
      <c r="G63" s="76"/>
      <c r="H63" s="92">
        <v>-117</v>
      </c>
      <c r="I63" s="92">
        <v>-426</v>
      </c>
      <c r="J63" s="92">
        <v>57</v>
      </c>
      <c r="K63" s="92">
        <v>373</v>
      </c>
      <c r="L63" s="92">
        <v>438</v>
      </c>
      <c r="M63" s="92">
        <v>1150</v>
      </c>
      <c r="N63" s="76"/>
      <c r="O63" s="76"/>
      <c r="P63" s="91">
        <v>60.35</v>
      </c>
      <c r="Q63" s="91">
        <v>129.37</v>
      </c>
      <c r="R63" s="92">
        <v>56.45</v>
      </c>
      <c r="S63" s="92">
        <v>215.8</v>
      </c>
      <c r="T63" s="92">
        <v>484</v>
      </c>
      <c r="U63" s="92">
        <v>488</v>
      </c>
      <c r="V63" s="92">
        <v>-1559</v>
      </c>
      <c r="W63" s="92">
        <v>-3943</v>
      </c>
      <c r="X63" s="92">
        <v>518</v>
      </c>
      <c r="Y63" s="92">
        <v>1210</v>
      </c>
      <c r="Z63" s="92">
        <v>324</v>
      </c>
      <c r="AA63" s="92">
        <v>589</v>
      </c>
      <c r="AB63" s="92">
        <v>34</v>
      </c>
      <c r="AC63" s="92">
        <v>188</v>
      </c>
      <c r="AD63" s="92">
        <v>12</v>
      </c>
      <c r="AE63" s="92">
        <v>60</v>
      </c>
      <c r="AF63" s="92">
        <v>-1.1599999999999999</v>
      </c>
      <c r="AG63" s="92">
        <v>-6.33</v>
      </c>
      <c r="AH63" s="92">
        <v>2.13</v>
      </c>
      <c r="AI63" s="92">
        <v>5.95</v>
      </c>
      <c r="AJ63" s="92">
        <v>30</v>
      </c>
      <c r="AK63" s="92">
        <v>249</v>
      </c>
      <c r="AL63" s="92">
        <v>281.99</v>
      </c>
      <c r="AM63" s="92">
        <v>969.85</v>
      </c>
      <c r="AN63" s="92">
        <v>-58</v>
      </c>
      <c r="AO63" s="92">
        <v>-98</v>
      </c>
      <c r="AP63" s="92">
        <v>0</v>
      </c>
      <c r="AQ63" s="92">
        <v>240</v>
      </c>
      <c r="AR63" s="76">
        <v>325</v>
      </c>
      <c r="AS63" s="76">
        <v>702</v>
      </c>
      <c r="AT63" s="92">
        <v>75</v>
      </c>
      <c r="AU63" s="92">
        <v>349</v>
      </c>
      <c r="AV63" s="92">
        <v>665</v>
      </c>
      <c r="AW63" s="92">
        <v>1307</v>
      </c>
      <c r="AX63" s="92">
        <v>161</v>
      </c>
      <c r="AY63" s="92">
        <v>501</v>
      </c>
      <c r="AZ63" s="92">
        <v>327</v>
      </c>
      <c r="BA63" s="92">
        <v>422</v>
      </c>
      <c r="BB63" s="92">
        <v>104</v>
      </c>
      <c r="BC63" s="92">
        <v>251</v>
      </c>
      <c r="BD63" s="92">
        <v>258</v>
      </c>
      <c r="BE63" s="92">
        <v>4330</v>
      </c>
      <c r="BF63" s="92">
        <v>567</v>
      </c>
      <c r="BG63" s="92">
        <v>1414</v>
      </c>
      <c r="BH63" s="92">
        <v>3375</v>
      </c>
      <c r="BI63" s="92">
        <v>16022</v>
      </c>
      <c r="BJ63" s="92">
        <v>1142</v>
      </c>
      <c r="BK63" s="92">
        <v>3592</v>
      </c>
      <c r="BL63" s="68">
        <f t="shared" si="10"/>
        <v>7578.76</v>
      </c>
      <c r="BM63" s="68">
        <f t="shared" si="11"/>
        <v>30348.639999999999</v>
      </c>
    </row>
    <row r="64" spans="1:65" s="7" customFormat="1" x14ac:dyDescent="0.25">
      <c r="A64" s="3" t="s">
        <v>288</v>
      </c>
      <c r="B64" s="10">
        <v>30</v>
      </c>
      <c r="C64" s="10">
        <v>109</v>
      </c>
      <c r="D64" s="10">
        <v>280</v>
      </c>
      <c r="E64" s="10">
        <v>809</v>
      </c>
      <c r="F64" s="10"/>
      <c r="G64" s="10"/>
      <c r="H64" s="10">
        <v>1828</v>
      </c>
      <c r="I64" s="10">
        <v>5880</v>
      </c>
      <c r="J64" s="10">
        <v>852</v>
      </c>
      <c r="K64" s="10">
        <v>2508</v>
      </c>
      <c r="L64" s="10">
        <v>812</v>
      </c>
      <c r="M64" s="10">
        <v>3037</v>
      </c>
      <c r="N64" s="10"/>
      <c r="O64" s="10"/>
      <c r="P64" s="131">
        <v>52.38</v>
      </c>
      <c r="Q64" s="131">
        <v>105.16</v>
      </c>
      <c r="R64" s="10">
        <v>667.24</v>
      </c>
      <c r="S64" s="10">
        <v>1881.19</v>
      </c>
      <c r="T64" s="10">
        <v>543</v>
      </c>
      <c r="U64" s="10">
        <v>626</v>
      </c>
      <c r="V64" s="10">
        <v>3887</v>
      </c>
      <c r="W64" s="10">
        <v>9207</v>
      </c>
      <c r="X64" s="10">
        <v>3928</v>
      </c>
      <c r="Y64" s="10">
        <v>10570</v>
      </c>
      <c r="Z64" s="10">
        <v>1626</v>
      </c>
      <c r="AA64" s="10">
        <v>4298</v>
      </c>
      <c r="AB64" s="10">
        <v>38</v>
      </c>
      <c r="AC64" s="10">
        <v>132</v>
      </c>
      <c r="AD64" s="10">
        <v>253</v>
      </c>
      <c r="AE64" s="10">
        <v>809</v>
      </c>
      <c r="AF64" s="10">
        <v>28.6</v>
      </c>
      <c r="AG64" s="10">
        <v>126.74</v>
      </c>
      <c r="AH64" s="10">
        <v>32.82</v>
      </c>
      <c r="AI64" s="10">
        <v>97.66</v>
      </c>
      <c r="AJ64" s="10">
        <v>167</v>
      </c>
      <c r="AK64" s="10">
        <v>536</v>
      </c>
      <c r="AL64" s="10">
        <v>3964.15</v>
      </c>
      <c r="AM64" s="10">
        <v>12467.67</v>
      </c>
      <c r="AN64" s="10">
        <v>53</v>
      </c>
      <c r="AO64" s="10">
        <v>97</v>
      </c>
      <c r="AP64" s="10">
        <v>0</v>
      </c>
      <c r="AQ64" s="10">
        <v>75</v>
      </c>
      <c r="AR64" s="10">
        <v>904</v>
      </c>
      <c r="AS64" s="10">
        <v>1750</v>
      </c>
      <c r="AT64" s="10">
        <v>588</v>
      </c>
      <c r="AU64" s="10">
        <v>1416</v>
      </c>
      <c r="AV64" s="10">
        <v>7781</v>
      </c>
      <c r="AW64" s="10">
        <v>19205</v>
      </c>
      <c r="AX64" s="10">
        <v>32</v>
      </c>
      <c r="AY64" s="10">
        <v>123</v>
      </c>
      <c r="AZ64" s="10">
        <v>1150</v>
      </c>
      <c r="BA64" s="10">
        <v>3926</v>
      </c>
      <c r="BB64" s="10">
        <v>2072</v>
      </c>
      <c r="BC64" s="10">
        <v>4837</v>
      </c>
      <c r="BD64" s="10">
        <v>20701</v>
      </c>
      <c r="BE64" s="10">
        <v>80966</v>
      </c>
      <c r="BF64" s="10">
        <v>5211</v>
      </c>
      <c r="BG64" s="10">
        <v>12894</v>
      </c>
      <c r="BH64" s="10">
        <v>8499</v>
      </c>
      <c r="BI64" s="10">
        <v>17039</v>
      </c>
      <c r="BJ64" s="10">
        <v>21681</v>
      </c>
      <c r="BK64" s="10">
        <v>8133</v>
      </c>
      <c r="BL64" s="63">
        <f t="shared" si="10"/>
        <v>87661.19</v>
      </c>
      <c r="BM64" s="63">
        <f t="shared" si="11"/>
        <v>203660.41999999998</v>
      </c>
    </row>
    <row r="65" spans="1:65" x14ac:dyDescent="0.25">
      <c r="A65" s="20" t="s">
        <v>289</v>
      </c>
      <c r="B65" s="92">
        <v>98</v>
      </c>
      <c r="C65" s="92">
        <v>98</v>
      </c>
      <c r="D65" s="92">
        <v>2649</v>
      </c>
      <c r="E65" s="92">
        <v>2649</v>
      </c>
      <c r="F65" s="76"/>
      <c r="G65" s="76"/>
      <c r="H65" s="92">
        <v>12689</v>
      </c>
      <c r="I65" s="92">
        <v>12689</v>
      </c>
      <c r="J65" s="92">
        <v>5445</v>
      </c>
      <c r="K65" s="92">
        <v>5445</v>
      </c>
      <c r="L65" s="92">
        <v>3641</v>
      </c>
      <c r="M65" s="92">
        <v>3641</v>
      </c>
      <c r="N65" s="76"/>
      <c r="O65" s="76"/>
      <c r="P65" s="91">
        <v>63.98</v>
      </c>
      <c r="Q65" s="91">
        <v>63.98</v>
      </c>
      <c r="R65" s="92">
        <v>3292.16</v>
      </c>
      <c r="S65" s="92">
        <v>3292.16</v>
      </c>
      <c r="T65" s="92">
        <v>2534</v>
      </c>
      <c r="U65" s="92">
        <v>2534</v>
      </c>
      <c r="V65" s="92">
        <v>27927</v>
      </c>
      <c r="W65" s="92">
        <v>27927</v>
      </c>
      <c r="X65" s="92">
        <v>24769</v>
      </c>
      <c r="Y65" s="92">
        <v>24769</v>
      </c>
      <c r="Z65" s="92">
        <v>311</v>
      </c>
      <c r="AA65" s="92">
        <v>5370</v>
      </c>
      <c r="AB65" s="92">
        <v>326</v>
      </c>
      <c r="AC65" s="92">
        <v>326</v>
      </c>
      <c r="AD65" s="92">
        <v>1564</v>
      </c>
      <c r="AE65" s="92">
        <v>1564</v>
      </c>
      <c r="AF65" s="92">
        <v>395.64</v>
      </c>
      <c r="AG65" s="92">
        <v>395.64</v>
      </c>
      <c r="AH65" s="92">
        <v>517.74</v>
      </c>
      <c r="AI65" s="92">
        <v>517.74</v>
      </c>
      <c r="AJ65" s="92">
        <v>674</v>
      </c>
      <c r="AK65" s="92">
        <v>674</v>
      </c>
      <c r="AL65" s="92">
        <v>34108.57</v>
      </c>
      <c r="AM65" s="92">
        <v>34108.57</v>
      </c>
      <c r="AN65" s="92">
        <v>288</v>
      </c>
      <c r="AO65" s="92">
        <v>288</v>
      </c>
      <c r="AP65" s="92">
        <v>5</v>
      </c>
      <c r="AQ65" s="92">
        <v>5</v>
      </c>
      <c r="AR65" s="76">
        <v>5392</v>
      </c>
      <c r="AS65" s="76">
        <v>5392</v>
      </c>
      <c r="AT65" s="92">
        <v>2569</v>
      </c>
      <c r="AU65" s="92">
        <v>2569</v>
      </c>
      <c r="AV65" s="92">
        <v>51431</v>
      </c>
      <c r="AW65" s="92">
        <v>51431</v>
      </c>
      <c r="AX65" s="92">
        <v>866</v>
      </c>
      <c r="AY65" s="92">
        <v>866</v>
      </c>
      <c r="AZ65" s="92">
        <v>6028</v>
      </c>
      <c r="BA65" s="92">
        <v>6028</v>
      </c>
      <c r="BB65" s="92">
        <v>9141</v>
      </c>
      <c r="BC65" s="92">
        <v>9141</v>
      </c>
      <c r="BD65" s="92">
        <v>31038</v>
      </c>
      <c r="BE65" s="92">
        <v>31038</v>
      </c>
      <c r="BF65" s="92">
        <v>911</v>
      </c>
      <c r="BG65" s="92">
        <v>21740</v>
      </c>
      <c r="BH65" s="92">
        <v>28892</v>
      </c>
      <c r="BI65" s="92">
        <v>28892</v>
      </c>
      <c r="BJ65" s="92">
        <v>5320</v>
      </c>
      <c r="BK65" s="92">
        <v>9396</v>
      </c>
      <c r="BL65" s="68">
        <f t="shared" si="10"/>
        <v>262886.08999999997</v>
      </c>
      <c r="BM65" s="68">
        <f t="shared" si="11"/>
        <v>292850.08999999997</v>
      </c>
    </row>
    <row r="66" spans="1:65" ht="15" customHeight="1" x14ac:dyDescent="0.25">
      <c r="A66" s="20" t="s">
        <v>290</v>
      </c>
      <c r="B66" s="92">
        <v>109</v>
      </c>
      <c r="C66" s="92">
        <v>66</v>
      </c>
      <c r="D66" s="92">
        <v>2785</v>
      </c>
      <c r="E66" s="92">
        <v>3080</v>
      </c>
      <c r="F66" s="76"/>
      <c r="G66" s="76"/>
      <c r="H66" s="92">
        <v>13563</v>
      </c>
      <c r="I66" s="92">
        <v>13066</v>
      </c>
      <c r="J66" s="92">
        <v>5087</v>
      </c>
      <c r="K66" s="92">
        <v>4927</v>
      </c>
      <c r="L66" s="92">
        <v>3974</v>
      </c>
      <c r="M66" s="92">
        <v>3609</v>
      </c>
      <c r="N66" s="76"/>
      <c r="O66" s="76"/>
      <c r="P66" s="91">
        <v>90.5</v>
      </c>
      <c r="Q66" s="91">
        <v>78.39</v>
      </c>
      <c r="R66" s="92">
        <v>3221.94</v>
      </c>
      <c r="S66" s="92">
        <v>3054.96</v>
      </c>
      <c r="T66" s="92">
        <v>1458</v>
      </c>
      <c r="U66" s="92">
        <v>502</v>
      </c>
      <c r="V66" s="92">
        <v>-26696</v>
      </c>
      <c r="W66" s="92">
        <v>-22724</v>
      </c>
      <c r="X66" s="92">
        <v>25664</v>
      </c>
      <c r="Y66" s="92">
        <v>22584</v>
      </c>
      <c r="Z66" s="92">
        <v>0</v>
      </c>
      <c r="AA66" s="92">
        <v>3922</v>
      </c>
      <c r="AB66" s="92">
        <v>346</v>
      </c>
      <c r="AC66" s="92">
        <v>410</v>
      </c>
      <c r="AD66" s="92">
        <v>1388</v>
      </c>
      <c r="AE66" s="92">
        <v>1438</v>
      </c>
      <c r="AF66" s="92">
        <v>-385.34</v>
      </c>
      <c r="AG66" s="92">
        <v>-357.79</v>
      </c>
      <c r="AH66" s="92">
        <v>477.7</v>
      </c>
      <c r="AI66" s="92">
        <v>457.85</v>
      </c>
      <c r="AJ66" s="92">
        <v>1124</v>
      </c>
      <c r="AK66" s="92">
        <v>1253</v>
      </c>
      <c r="AL66" s="92">
        <v>32228.240000000002</v>
      </c>
      <c r="AM66" s="92">
        <v>22300.6</v>
      </c>
      <c r="AN66" s="92">
        <v>-275</v>
      </c>
      <c r="AO66" s="92">
        <v>-261</v>
      </c>
      <c r="AP66" s="92">
        <v>4</v>
      </c>
      <c r="AQ66" s="92">
        <v>17</v>
      </c>
      <c r="AR66" s="76">
        <v>5109</v>
      </c>
      <c r="AS66" s="76">
        <v>3950</v>
      </c>
      <c r="AT66" s="92">
        <v>2518</v>
      </c>
      <c r="AU66" s="92">
        <v>2465</v>
      </c>
      <c r="AV66" s="92">
        <v>52685</v>
      </c>
      <c r="AW66" s="92">
        <v>46226</v>
      </c>
      <c r="AX66" s="92">
        <v>674</v>
      </c>
      <c r="AY66" s="92">
        <v>461</v>
      </c>
      <c r="AZ66" s="92">
        <v>3772</v>
      </c>
      <c r="BA66" s="92">
        <v>3593</v>
      </c>
      <c r="BB66" s="92">
        <v>8725</v>
      </c>
      <c r="BC66" s="92">
        <v>8454</v>
      </c>
      <c r="BD66" s="92">
        <v>40283</v>
      </c>
      <c r="BE66" s="92">
        <v>28807</v>
      </c>
      <c r="BF66" s="92">
        <v>0</v>
      </c>
      <c r="BG66" s="92">
        <v>17696</v>
      </c>
      <c r="BH66" s="92">
        <v>30742</v>
      </c>
      <c r="BI66" s="92">
        <v>27780</v>
      </c>
      <c r="BJ66" s="92">
        <v>3231</v>
      </c>
      <c r="BK66" s="92">
        <v>12587</v>
      </c>
      <c r="BL66" s="68">
        <f t="shared" si="10"/>
        <v>211903.04</v>
      </c>
      <c r="BM66" s="68">
        <f t="shared" si="11"/>
        <v>209442.01</v>
      </c>
    </row>
    <row r="67" spans="1:65" s="7" customFormat="1" x14ac:dyDescent="0.25">
      <c r="A67" s="3" t="s">
        <v>291</v>
      </c>
      <c r="B67" s="10">
        <v>19</v>
      </c>
      <c r="C67" s="10">
        <v>141</v>
      </c>
      <c r="D67" s="10">
        <v>144</v>
      </c>
      <c r="E67" s="10">
        <v>378</v>
      </c>
      <c r="F67" s="10"/>
      <c r="G67" s="10"/>
      <c r="H67" s="10">
        <v>954</v>
      </c>
      <c r="I67" s="10">
        <v>5502</v>
      </c>
      <c r="J67" s="10">
        <v>1210</v>
      </c>
      <c r="K67" s="10">
        <v>3026</v>
      </c>
      <c r="L67" s="10">
        <v>479</v>
      </c>
      <c r="M67" s="10">
        <v>3069</v>
      </c>
      <c r="N67" s="10"/>
      <c r="O67" s="10"/>
      <c r="P67" s="131">
        <v>25.86</v>
      </c>
      <c r="Q67" s="131">
        <v>90.75</v>
      </c>
      <c r="R67" s="10">
        <v>737.46</v>
      </c>
      <c r="S67" s="10">
        <v>2118.39</v>
      </c>
      <c r="T67" s="10">
        <v>1619</v>
      </c>
      <c r="U67" s="10">
        <v>2658</v>
      </c>
      <c r="V67" s="10">
        <v>5118</v>
      </c>
      <c r="W67" s="10">
        <v>14410</v>
      </c>
      <c r="X67" s="10">
        <v>3033</v>
      </c>
      <c r="Y67" s="10">
        <v>11091</v>
      </c>
      <c r="Z67" s="10">
        <v>1936</v>
      </c>
      <c r="AA67" s="10">
        <v>5746</v>
      </c>
      <c r="AB67" s="10">
        <v>18</v>
      </c>
      <c r="AC67" s="10">
        <v>48</v>
      </c>
      <c r="AD67" s="10">
        <v>429</v>
      </c>
      <c r="AE67" s="10">
        <v>935</v>
      </c>
      <c r="AF67" s="10">
        <v>38.9</v>
      </c>
      <c r="AG67" s="10">
        <v>164.59</v>
      </c>
      <c r="AH67" s="10">
        <v>72.86</v>
      </c>
      <c r="AI67" s="10">
        <v>157.56</v>
      </c>
      <c r="AJ67" s="10">
        <v>-283</v>
      </c>
      <c r="AK67" s="10">
        <v>-43</v>
      </c>
      <c r="AL67" s="10">
        <v>5844.48</v>
      </c>
      <c r="AM67" s="10">
        <v>24275.63</v>
      </c>
      <c r="AN67" s="10">
        <v>66</v>
      </c>
      <c r="AO67" s="10">
        <v>124</v>
      </c>
      <c r="AP67" s="10">
        <v>1</v>
      </c>
      <c r="AQ67" s="10">
        <v>63</v>
      </c>
      <c r="AR67" s="10">
        <v>1187</v>
      </c>
      <c r="AS67" s="10">
        <v>3192</v>
      </c>
      <c r="AT67" s="10">
        <v>640</v>
      </c>
      <c r="AU67" s="10">
        <v>1521</v>
      </c>
      <c r="AV67" s="10">
        <v>6527</v>
      </c>
      <c r="AW67" s="10">
        <v>24410</v>
      </c>
      <c r="AX67" s="10">
        <v>224</v>
      </c>
      <c r="AY67" s="10">
        <v>528</v>
      </c>
      <c r="AZ67" s="10">
        <v>3405</v>
      </c>
      <c r="BA67" s="10">
        <v>6361</v>
      </c>
      <c r="BB67" s="10">
        <v>2487</v>
      </c>
      <c r="BC67" s="10">
        <v>5524</v>
      </c>
      <c r="BD67" s="10">
        <v>11455</v>
      </c>
      <c r="BE67" s="10">
        <v>83196</v>
      </c>
      <c r="BF67" s="10">
        <v>6122</v>
      </c>
      <c r="BG67" s="10">
        <v>16938</v>
      </c>
      <c r="BH67" s="10">
        <v>6650</v>
      </c>
      <c r="BI67" s="10">
        <v>18151</v>
      </c>
      <c r="BJ67" s="10">
        <v>23769</v>
      </c>
      <c r="BK67" s="10">
        <v>4943</v>
      </c>
      <c r="BL67" s="63">
        <f t="shared" si="10"/>
        <v>83928.56</v>
      </c>
      <c r="BM67" s="63">
        <f t="shared" si="11"/>
        <v>238718.91999999998</v>
      </c>
    </row>
    <row r="68" spans="1:65" x14ac:dyDescent="0.25">
      <c r="A68" s="13"/>
    </row>
    <row r="69" spans="1:65" x14ac:dyDescent="0.25">
      <c r="A69" s="27" t="s">
        <v>244</v>
      </c>
    </row>
    <row r="70" spans="1:65" x14ac:dyDescent="0.25">
      <c r="A70" s="3" t="s">
        <v>0</v>
      </c>
      <c r="B70" s="153" t="s">
        <v>1</v>
      </c>
      <c r="C70" s="154"/>
      <c r="D70" s="153" t="s">
        <v>234</v>
      </c>
      <c r="E70" s="154"/>
      <c r="F70" s="153" t="s">
        <v>2</v>
      </c>
      <c r="G70" s="154"/>
      <c r="H70" s="153" t="s">
        <v>3</v>
      </c>
      <c r="I70" s="154"/>
      <c r="J70" s="153" t="s">
        <v>243</v>
      </c>
      <c r="K70" s="154"/>
      <c r="L70" s="153" t="s">
        <v>235</v>
      </c>
      <c r="M70" s="154"/>
      <c r="N70" s="153" t="s">
        <v>5</v>
      </c>
      <c r="O70" s="154"/>
      <c r="P70" s="153" t="s">
        <v>4</v>
      </c>
      <c r="Q70" s="154"/>
      <c r="R70" s="153" t="s">
        <v>6</v>
      </c>
      <c r="S70" s="154"/>
      <c r="T70" s="153" t="s">
        <v>246</v>
      </c>
      <c r="U70" s="154"/>
      <c r="V70" s="153" t="s">
        <v>7</v>
      </c>
      <c r="W70" s="154"/>
      <c r="X70" s="153" t="s">
        <v>8</v>
      </c>
      <c r="Y70" s="154"/>
      <c r="Z70" s="153" t="s">
        <v>9</v>
      </c>
      <c r="AA70" s="154"/>
      <c r="AB70" s="153" t="s">
        <v>242</v>
      </c>
      <c r="AC70" s="154"/>
      <c r="AD70" s="153" t="s">
        <v>10</v>
      </c>
      <c r="AE70" s="154"/>
      <c r="AF70" s="153" t="s">
        <v>11</v>
      </c>
      <c r="AG70" s="154"/>
      <c r="AH70" s="153" t="s">
        <v>236</v>
      </c>
      <c r="AI70" s="154"/>
      <c r="AJ70" s="153" t="s">
        <v>245</v>
      </c>
      <c r="AK70" s="154"/>
      <c r="AL70" s="153" t="s">
        <v>12</v>
      </c>
      <c r="AM70" s="154"/>
      <c r="AN70" s="153" t="s">
        <v>237</v>
      </c>
      <c r="AO70" s="154"/>
      <c r="AP70" s="153" t="s">
        <v>238</v>
      </c>
      <c r="AQ70" s="154"/>
      <c r="AR70" s="153" t="s">
        <v>241</v>
      </c>
      <c r="AS70" s="154"/>
      <c r="AT70" s="153" t="s">
        <v>13</v>
      </c>
      <c r="AU70" s="154"/>
      <c r="AV70" s="153" t="s">
        <v>14</v>
      </c>
      <c r="AW70" s="154"/>
      <c r="AX70" s="153" t="s">
        <v>15</v>
      </c>
      <c r="AY70" s="154"/>
      <c r="AZ70" s="153" t="s">
        <v>16</v>
      </c>
      <c r="BA70" s="154"/>
      <c r="BB70" s="153" t="s">
        <v>17</v>
      </c>
      <c r="BC70" s="154"/>
      <c r="BD70" s="153" t="s">
        <v>239</v>
      </c>
      <c r="BE70" s="154"/>
      <c r="BF70" s="153" t="s">
        <v>240</v>
      </c>
      <c r="BG70" s="154"/>
      <c r="BH70" s="153" t="s">
        <v>18</v>
      </c>
      <c r="BI70" s="154"/>
      <c r="BJ70" s="153" t="s">
        <v>19</v>
      </c>
      <c r="BK70" s="154"/>
      <c r="BL70" s="155" t="s">
        <v>20</v>
      </c>
      <c r="BM70" s="156"/>
    </row>
    <row r="71" spans="1:65" ht="30" x14ac:dyDescent="0.25">
      <c r="A71" s="3"/>
      <c r="B71" s="53" t="s">
        <v>303</v>
      </c>
      <c r="C71" s="54" t="s">
        <v>302</v>
      </c>
      <c r="D71" s="53" t="s">
        <v>303</v>
      </c>
      <c r="E71" s="54" t="s">
        <v>302</v>
      </c>
      <c r="F71" s="53" t="s">
        <v>303</v>
      </c>
      <c r="G71" s="54" t="s">
        <v>302</v>
      </c>
      <c r="H71" s="53" t="s">
        <v>303</v>
      </c>
      <c r="I71" s="54" t="s">
        <v>302</v>
      </c>
      <c r="J71" s="53" t="s">
        <v>303</v>
      </c>
      <c r="K71" s="54" t="s">
        <v>302</v>
      </c>
      <c r="L71" s="53" t="s">
        <v>303</v>
      </c>
      <c r="M71" s="54" t="s">
        <v>302</v>
      </c>
      <c r="N71" s="53" t="s">
        <v>303</v>
      </c>
      <c r="O71" s="54" t="s">
        <v>302</v>
      </c>
      <c r="P71" s="53" t="s">
        <v>303</v>
      </c>
      <c r="Q71" s="54" t="s">
        <v>302</v>
      </c>
      <c r="R71" s="53" t="s">
        <v>303</v>
      </c>
      <c r="S71" s="54" t="s">
        <v>302</v>
      </c>
      <c r="T71" s="53" t="s">
        <v>303</v>
      </c>
      <c r="U71" s="54" t="s">
        <v>302</v>
      </c>
      <c r="V71" s="53" t="s">
        <v>303</v>
      </c>
      <c r="W71" s="54" t="s">
        <v>302</v>
      </c>
      <c r="X71" s="53" t="s">
        <v>303</v>
      </c>
      <c r="Y71" s="54" t="s">
        <v>302</v>
      </c>
      <c r="Z71" s="53" t="s">
        <v>303</v>
      </c>
      <c r="AA71" s="54" t="s">
        <v>302</v>
      </c>
      <c r="AB71" s="53" t="s">
        <v>303</v>
      </c>
      <c r="AC71" s="54" t="s">
        <v>302</v>
      </c>
      <c r="AD71" s="53" t="s">
        <v>303</v>
      </c>
      <c r="AE71" s="54" t="s">
        <v>302</v>
      </c>
      <c r="AF71" s="53" t="s">
        <v>303</v>
      </c>
      <c r="AG71" s="54" t="s">
        <v>302</v>
      </c>
      <c r="AH71" s="53" t="s">
        <v>303</v>
      </c>
      <c r="AI71" s="54" t="s">
        <v>302</v>
      </c>
      <c r="AJ71" s="53" t="s">
        <v>303</v>
      </c>
      <c r="AK71" s="54" t="s">
        <v>302</v>
      </c>
      <c r="AL71" s="53" t="s">
        <v>303</v>
      </c>
      <c r="AM71" s="54" t="s">
        <v>302</v>
      </c>
      <c r="AN71" s="53" t="s">
        <v>303</v>
      </c>
      <c r="AO71" s="54" t="s">
        <v>302</v>
      </c>
      <c r="AP71" s="53" t="s">
        <v>303</v>
      </c>
      <c r="AQ71" s="54" t="s">
        <v>302</v>
      </c>
      <c r="AR71" s="53" t="s">
        <v>303</v>
      </c>
      <c r="AS71" s="54" t="s">
        <v>302</v>
      </c>
      <c r="AT71" s="53" t="s">
        <v>303</v>
      </c>
      <c r="AU71" s="54" t="s">
        <v>302</v>
      </c>
      <c r="AV71" s="53" t="s">
        <v>303</v>
      </c>
      <c r="AW71" s="54" t="s">
        <v>302</v>
      </c>
      <c r="AX71" s="53" t="s">
        <v>303</v>
      </c>
      <c r="AY71" s="54" t="s">
        <v>302</v>
      </c>
      <c r="AZ71" s="53" t="s">
        <v>303</v>
      </c>
      <c r="BA71" s="54" t="s">
        <v>302</v>
      </c>
      <c r="BB71" s="53" t="s">
        <v>303</v>
      </c>
      <c r="BC71" s="54" t="s">
        <v>302</v>
      </c>
      <c r="BD71" s="53" t="s">
        <v>303</v>
      </c>
      <c r="BE71" s="54" t="s">
        <v>302</v>
      </c>
      <c r="BF71" s="53" t="s">
        <v>303</v>
      </c>
      <c r="BG71" s="54" t="s">
        <v>302</v>
      </c>
      <c r="BH71" s="53" t="s">
        <v>303</v>
      </c>
      <c r="BI71" s="54" t="s">
        <v>302</v>
      </c>
      <c r="BJ71" s="53" t="s">
        <v>303</v>
      </c>
      <c r="BK71" s="54" t="s">
        <v>302</v>
      </c>
      <c r="BL71" s="105" t="s">
        <v>303</v>
      </c>
      <c r="BM71" s="106" t="s">
        <v>302</v>
      </c>
    </row>
    <row r="72" spans="1:65" x14ac:dyDescent="0.25">
      <c r="A72" s="20" t="s">
        <v>285</v>
      </c>
      <c r="B72" s="76"/>
      <c r="C72" s="76"/>
      <c r="D72" s="76"/>
      <c r="E72" s="76"/>
      <c r="F72" s="92">
        <v>184406</v>
      </c>
      <c r="G72" s="92">
        <v>477048</v>
      </c>
      <c r="H72" s="92">
        <v>57036</v>
      </c>
      <c r="I72" s="92">
        <v>98949</v>
      </c>
      <c r="J72" s="76"/>
      <c r="K72" s="76"/>
      <c r="L72" s="92">
        <v>8</v>
      </c>
      <c r="M72" s="92">
        <v>17</v>
      </c>
      <c r="N72" s="76"/>
      <c r="O72" s="76"/>
      <c r="P72" s="76"/>
      <c r="Q72" s="76"/>
      <c r="R72" s="92">
        <v>4139.82</v>
      </c>
      <c r="S72" s="92">
        <v>16928</v>
      </c>
      <c r="T72" s="76"/>
      <c r="U72" s="76"/>
      <c r="V72" s="92">
        <v>48879</v>
      </c>
      <c r="W72" s="92">
        <v>134047</v>
      </c>
      <c r="X72" s="92">
        <v>18379</v>
      </c>
      <c r="Y72" s="92">
        <v>31203</v>
      </c>
      <c r="Z72" s="92">
        <v>62241</v>
      </c>
      <c r="AA72" s="92">
        <v>83459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2">
        <v>93025.09</v>
      </c>
      <c r="AM72" s="92">
        <v>99856.09</v>
      </c>
      <c r="AN72" s="76"/>
      <c r="AO72" s="76"/>
      <c r="AP72" s="76"/>
      <c r="AQ72" s="76"/>
      <c r="AR72" s="76">
        <v>66017</v>
      </c>
      <c r="AS72" s="76">
        <v>97014</v>
      </c>
      <c r="AT72" s="76"/>
      <c r="AU72" s="76"/>
      <c r="AV72" s="92">
        <v>85213</v>
      </c>
      <c r="AW72" s="92">
        <v>177768</v>
      </c>
      <c r="AX72" s="76"/>
      <c r="AY72" s="76"/>
      <c r="AZ72" s="76"/>
      <c r="BA72" s="76"/>
      <c r="BB72" s="92">
        <v>27</v>
      </c>
      <c r="BC72" s="92">
        <v>117</v>
      </c>
      <c r="BD72" s="92">
        <v>56880</v>
      </c>
      <c r="BE72" s="92">
        <v>162184</v>
      </c>
      <c r="BF72" s="92">
        <v>89092</v>
      </c>
      <c r="BG72" s="92">
        <v>108587</v>
      </c>
      <c r="BH72" s="92">
        <v>8378</v>
      </c>
      <c r="BI72" s="92">
        <v>76481</v>
      </c>
      <c r="BJ72" s="92">
        <v>2848</v>
      </c>
      <c r="BK72" s="92">
        <v>41756</v>
      </c>
      <c r="BL72" s="68">
        <f t="shared" ref="BL72:BL78" si="12">SUM(B72+D72+F72+H72+J72+L72+N72+P72+R72+T72+V72+X72+Z72+AB72+AD72+AF72+AH72+AJ72+AL72+AN72+AP72+AR72+AT72+AV72+AX72+AZ72+BB72+BD72+BF72+BH72+BJ72)</f>
        <v>776568.91</v>
      </c>
      <c r="BM72" s="68">
        <f t="shared" ref="BM72:BM78" si="13">SUM(C72+E72+G72+I72+K72+M72+O72+Q72+S72+U72+W72+Y72+AA72+AC72+AE72+AG72+AI72+AK72+AM72+AO72+AQ72+AS72+AU72+AW72+AY72+BA72+BC72+BE72+BG72+BI72+BK72)</f>
        <v>1605414.0899999999</v>
      </c>
    </row>
    <row r="73" spans="1:65" x14ac:dyDescent="0.25">
      <c r="A73" s="20" t="s">
        <v>286</v>
      </c>
      <c r="B73" s="76"/>
      <c r="C73" s="76"/>
      <c r="D73" s="76"/>
      <c r="E73" s="76"/>
      <c r="F73" s="92">
        <v>0</v>
      </c>
      <c r="G73" s="92">
        <v>0</v>
      </c>
      <c r="H73" s="92"/>
      <c r="I73" s="92">
        <v>0</v>
      </c>
      <c r="J73" s="76"/>
      <c r="K73" s="76"/>
      <c r="L73" s="92"/>
      <c r="M73" s="92"/>
      <c r="N73" s="76"/>
      <c r="O73" s="76"/>
      <c r="P73" s="76"/>
      <c r="Q73" s="76"/>
      <c r="R73" s="92"/>
      <c r="S73" s="92"/>
      <c r="T73" s="92">
        <v>15</v>
      </c>
      <c r="U73" s="92">
        <v>702</v>
      </c>
      <c r="V73" s="92"/>
      <c r="W73" s="92"/>
      <c r="X73" s="92"/>
      <c r="Y73" s="92"/>
      <c r="Z73" s="92"/>
      <c r="AA73" s="92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2"/>
      <c r="AM73" s="92"/>
      <c r="AN73" s="76"/>
      <c r="AO73" s="76"/>
      <c r="AP73" s="76"/>
      <c r="AQ73" s="76"/>
      <c r="AR73" s="76"/>
      <c r="AS73" s="76"/>
      <c r="AT73" s="76"/>
      <c r="AU73" s="76"/>
      <c r="AV73" s="92"/>
      <c r="AW73" s="92"/>
      <c r="AX73" s="76"/>
      <c r="AY73" s="76"/>
      <c r="AZ73" s="76"/>
      <c r="BA73" s="76"/>
      <c r="BB73" s="92"/>
      <c r="BC73" s="92"/>
      <c r="BD73" s="92">
        <v>46</v>
      </c>
      <c r="BE73" s="92">
        <v>46</v>
      </c>
      <c r="BF73" s="92">
        <v>0</v>
      </c>
      <c r="BG73" s="92">
        <v>23</v>
      </c>
      <c r="BH73" s="92">
        <v>0</v>
      </c>
      <c r="BI73" s="92">
        <v>0</v>
      </c>
      <c r="BJ73" s="92"/>
      <c r="BK73" s="92"/>
      <c r="BL73" s="68">
        <f t="shared" si="12"/>
        <v>61</v>
      </c>
      <c r="BM73" s="68">
        <f t="shared" si="13"/>
        <v>771</v>
      </c>
    </row>
    <row r="74" spans="1:65" x14ac:dyDescent="0.25">
      <c r="A74" s="20" t="s">
        <v>287</v>
      </c>
      <c r="B74" s="76"/>
      <c r="C74" s="76"/>
      <c r="D74" s="76"/>
      <c r="E74" s="76"/>
      <c r="F74" s="92">
        <v>101755</v>
      </c>
      <c r="G74" s="92">
        <v>310750</v>
      </c>
      <c r="H74" s="92">
        <v>-45191</v>
      </c>
      <c r="I74" s="92">
        <v>-75372</v>
      </c>
      <c r="J74" s="76"/>
      <c r="K74" s="76"/>
      <c r="L74" s="92">
        <v>7</v>
      </c>
      <c r="M74" s="92">
        <v>15</v>
      </c>
      <c r="N74" s="76"/>
      <c r="O74" s="76"/>
      <c r="P74" s="76"/>
      <c r="Q74" s="76"/>
      <c r="R74" s="92">
        <v>2861.9</v>
      </c>
      <c r="S74" s="92">
        <v>12713.24</v>
      </c>
      <c r="T74" s="92">
        <v>4</v>
      </c>
      <c r="U74" s="92">
        <v>321</v>
      </c>
      <c r="V74" s="92">
        <v>-36897</v>
      </c>
      <c r="W74" s="92">
        <v>-104706</v>
      </c>
      <c r="X74" s="92">
        <v>14182</v>
      </c>
      <c r="Y74" s="92">
        <v>24661</v>
      </c>
      <c r="Z74" s="92">
        <v>46679</v>
      </c>
      <c r="AA74" s="92">
        <v>62655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2">
        <v>7245.54</v>
      </c>
      <c r="AM74" s="92">
        <v>11097.36</v>
      </c>
      <c r="AN74" s="76"/>
      <c r="AO74" s="76"/>
      <c r="AP74" s="76"/>
      <c r="AQ74" s="76"/>
      <c r="AR74" s="76">
        <v>47752</v>
      </c>
      <c r="AS74" s="76">
        <v>66688</v>
      </c>
      <c r="AT74" s="76"/>
      <c r="AU74" s="76"/>
      <c r="AV74" s="92">
        <v>66393</v>
      </c>
      <c r="AW74" s="92">
        <v>138076</v>
      </c>
      <c r="AX74" s="76"/>
      <c r="AY74" s="76"/>
      <c r="AZ74" s="76"/>
      <c r="BA74" s="76"/>
      <c r="BB74" s="92">
        <v>11</v>
      </c>
      <c r="BC74" s="92">
        <v>68</v>
      </c>
      <c r="BD74" s="92">
        <v>46</v>
      </c>
      <c r="BE74" s="92">
        <v>26889</v>
      </c>
      <c r="BF74" s="92">
        <v>10424</v>
      </c>
      <c r="BG74" s="92">
        <v>24998</v>
      </c>
      <c r="BH74" s="92">
        <v>7210</v>
      </c>
      <c r="BI74" s="92">
        <v>29254</v>
      </c>
      <c r="BJ74" s="92">
        <v>2222</v>
      </c>
      <c r="BK74" s="92">
        <v>32553</v>
      </c>
      <c r="BL74" s="68">
        <f t="shared" si="12"/>
        <v>224704.44</v>
      </c>
      <c r="BM74" s="68">
        <f t="shared" si="13"/>
        <v>560660.6</v>
      </c>
    </row>
    <row r="75" spans="1:65" s="7" customFormat="1" x14ac:dyDescent="0.25">
      <c r="A75" s="3" t="s">
        <v>288</v>
      </c>
      <c r="B75" s="10"/>
      <c r="C75" s="10"/>
      <c r="D75" s="10"/>
      <c r="E75" s="10"/>
      <c r="F75" s="10">
        <v>82652</v>
      </c>
      <c r="G75" s="10">
        <v>166298</v>
      </c>
      <c r="H75" s="10">
        <v>11845</v>
      </c>
      <c r="I75" s="10">
        <v>23576</v>
      </c>
      <c r="J75" s="10"/>
      <c r="K75" s="10"/>
      <c r="L75" s="10">
        <v>1</v>
      </c>
      <c r="M75" s="10">
        <v>2</v>
      </c>
      <c r="N75" s="10"/>
      <c r="O75" s="10"/>
      <c r="P75" s="10"/>
      <c r="Q75" s="10"/>
      <c r="R75" s="10">
        <v>1277.92</v>
      </c>
      <c r="S75" s="10">
        <v>4214.76</v>
      </c>
      <c r="T75" s="10">
        <v>11</v>
      </c>
      <c r="U75" s="10">
        <v>381</v>
      </c>
      <c r="V75" s="10">
        <v>11982</v>
      </c>
      <c r="W75" s="10">
        <v>29340</v>
      </c>
      <c r="X75" s="10">
        <v>4197</v>
      </c>
      <c r="Y75" s="10">
        <v>6542</v>
      </c>
      <c r="Z75" s="10">
        <v>15562</v>
      </c>
      <c r="AA75" s="10">
        <v>20804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85779.55</v>
      </c>
      <c r="AM75" s="10">
        <v>88758.73</v>
      </c>
      <c r="AN75" s="10"/>
      <c r="AO75" s="10"/>
      <c r="AP75" s="10"/>
      <c r="AQ75" s="10"/>
      <c r="AR75" s="10">
        <v>18265</v>
      </c>
      <c r="AS75" s="10">
        <v>30326</v>
      </c>
      <c r="AT75" s="10"/>
      <c r="AU75" s="10"/>
      <c r="AV75" s="10">
        <v>18820</v>
      </c>
      <c r="AW75" s="10">
        <v>39692</v>
      </c>
      <c r="AX75" s="10"/>
      <c r="AY75" s="10"/>
      <c r="AZ75" s="10"/>
      <c r="BA75" s="10"/>
      <c r="BB75" s="10">
        <v>16</v>
      </c>
      <c r="BC75" s="10">
        <v>49</v>
      </c>
      <c r="BD75" s="10">
        <v>56880</v>
      </c>
      <c r="BE75" s="10">
        <v>135341</v>
      </c>
      <c r="BF75" s="10">
        <v>78669</v>
      </c>
      <c r="BG75" s="10">
        <v>83612</v>
      </c>
      <c r="BH75" s="10">
        <v>1167</v>
      </c>
      <c r="BI75" s="10">
        <v>47227</v>
      </c>
      <c r="BJ75" s="10">
        <v>626</v>
      </c>
      <c r="BK75" s="10">
        <v>9204</v>
      </c>
      <c r="BL75" s="63">
        <f t="shared" si="12"/>
        <v>387750.47</v>
      </c>
      <c r="BM75" s="63">
        <f t="shared" si="13"/>
        <v>685367.49</v>
      </c>
    </row>
    <row r="76" spans="1:65" x14ac:dyDescent="0.25">
      <c r="A76" s="20" t="s">
        <v>289</v>
      </c>
      <c r="B76" s="76"/>
      <c r="C76" s="76"/>
      <c r="D76" s="76"/>
      <c r="E76" s="76"/>
      <c r="F76" s="92">
        <v>1056794</v>
      </c>
      <c r="G76" s="92">
        <v>1056794</v>
      </c>
      <c r="H76" s="92">
        <v>28968</v>
      </c>
      <c r="I76" s="92">
        <v>28968</v>
      </c>
      <c r="J76" s="76"/>
      <c r="K76" s="76"/>
      <c r="L76" s="92">
        <v>593</v>
      </c>
      <c r="M76" s="92">
        <v>593</v>
      </c>
      <c r="N76" s="76"/>
      <c r="O76" s="76"/>
      <c r="P76" s="76"/>
      <c r="Q76" s="76"/>
      <c r="R76" s="92">
        <v>18076.990000000002</v>
      </c>
      <c r="S76" s="92">
        <v>18076.990000000002</v>
      </c>
      <c r="T76" s="92">
        <v>965</v>
      </c>
      <c r="U76" s="92">
        <v>965</v>
      </c>
      <c r="V76" s="92">
        <v>43697</v>
      </c>
      <c r="W76" s="92">
        <v>43697</v>
      </c>
      <c r="X76" s="92">
        <v>22706</v>
      </c>
      <c r="Y76" s="92">
        <v>22706</v>
      </c>
      <c r="Z76" s="92">
        <v>-6444</v>
      </c>
      <c r="AA76" s="92">
        <v>16201</v>
      </c>
      <c r="AB76" s="76"/>
      <c r="AC76" s="76"/>
      <c r="AD76" s="76"/>
      <c r="AE76" s="76"/>
      <c r="AF76" s="92">
        <v>2966.01</v>
      </c>
      <c r="AG76" s="92">
        <v>2966.01</v>
      </c>
      <c r="AH76" s="76"/>
      <c r="AI76" s="76"/>
      <c r="AJ76" s="76"/>
      <c r="AK76" s="76"/>
      <c r="AL76" s="92">
        <v>23532.22</v>
      </c>
      <c r="AM76" s="92">
        <v>23532.22</v>
      </c>
      <c r="AN76" s="76"/>
      <c r="AO76" s="76"/>
      <c r="AP76" s="76"/>
      <c r="AQ76" s="76"/>
      <c r="AR76" s="76">
        <v>91289</v>
      </c>
      <c r="AS76" s="76">
        <v>91289</v>
      </c>
      <c r="AT76" s="76"/>
      <c r="AU76" s="76"/>
      <c r="AV76" s="92">
        <v>39260</v>
      </c>
      <c r="AW76" s="92">
        <v>39260</v>
      </c>
      <c r="AX76" s="76"/>
      <c r="AY76" s="76"/>
      <c r="AZ76" s="76"/>
      <c r="BA76" s="76"/>
      <c r="BB76" s="92">
        <v>7116</v>
      </c>
      <c r="BC76" s="92">
        <v>7116</v>
      </c>
      <c r="BD76" s="92">
        <v>33019</v>
      </c>
      <c r="BE76" s="92">
        <v>33019</v>
      </c>
      <c r="BF76" s="92">
        <v>-64376</v>
      </c>
      <c r="BG76" s="92">
        <v>25532</v>
      </c>
      <c r="BH76" s="92">
        <v>17035</v>
      </c>
      <c r="BI76" s="92">
        <v>17035</v>
      </c>
      <c r="BJ76" s="92">
        <v>2751</v>
      </c>
      <c r="BK76" s="92">
        <v>14131</v>
      </c>
      <c r="BL76" s="68">
        <f t="shared" si="12"/>
        <v>1317948.22</v>
      </c>
      <c r="BM76" s="68">
        <f t="shared" si="13"/>
        <v>1441881.22</v>
      </c>
    </row>
    <row r="77" spans="1:65" ht="15" customHeight="1" x14ac:dyDescent="0.25">
      <c r="A77" s="20" t="s">
        <v>290</v>
      </c>
      <c r="B77" s="76"/>
      <c r="C77" s="76"/>
      <c r="D77" s="76"/>
      <c r="E77" s="76"/>
      <c r="F77" s="92">
        <v>965171</v>
      </c>
      <c r="G77" s="92">
        <v>709118</v>
      </c>
      <c r="H77" s="92">
        <v>33259</v>
      </c>
      <c r="I77" s="92">
        <v>29127</v>
      </c>
      <c r="J77" s="76"/>
      <c r="K77" s="76"/>
      <c r="L77" s="92">
        <v>594</v>
      </c>
      <c r="M77" s="92">
        <v>593</v>
      </c>
      <c r="N77" s="76"/>
      <c r="O77" s="76"/>
      <c r="P77" s="76"/>
      <c r="Q77" s="76"/>
      <c r="R77" s="92">
        <v>8169.23</v>
      </c>
      <c r="S77" s="92">
        <v>9332.81</v>
      </c>
      <c r="T77" s="92">
        <v>1360</v>
      </c>
      <c r="U77" s="92">
        <v>1557</v>
      </c>
      <c r="V77" s="92">
        <v>-40019</v>
      </c>
      <c r="W77" s="92">
        <v>-42681</v>
      </c>
      <c r="X77" s="92">
        <v>20691</v>
      </c>
      <c r="Y77" s="92">
        <v>6194</v>
      </c>
      <c r="Z77" s="92">
        <v>0</v>
      </c>
      <c r="AA77" s="92">
        <v>24616</v>
      </c>
      <c r="AB77" s="76"/>
      <c r="AC77" s="76"/>
      <c r="AD77" s="76"/>
      <c r="AE77" s="76"/>
      <c r="AF77" s="92">
        <v>-2966.01</v>
      </c>
      <c r="AG77" s="92">
        <v>-2966.01</v>
      </c>
      <c r="AH77" s="76"/>
      <c r="AI77" s="76"/>
      <c r="AJ77" s="76"/>
      <c r="AK77" s="76"/>
      <c r="AL77" s="92">
        <v>102670.84</v>
      </c>
      <c r="AM77" s="92">
        <v>102908.98</v>
      </c>
      <c r="AN77" s="76"/>
      <c r="AO77" s="76"/>
      <c r="AP77" s="76"/>
      <c r="AQ77" s="76"/>
      <c r="AR77" s="76">
        <v>80077</v>
      </c>
      <c r="AS77" s="76">
        <v>48286</v>
      </c>
      <c r="AT77" s="76"/>
      <c r="AU77" s="76"/>
      <c r="AV77" s="92">
        <v>44473</v>
      </c>
      <c r="AW77" s="92">
        <v>47887</v>
      </c>
      <c r="AX77" s="76"/>
      <c r="AY77" s="76"/>
      <c r="AZ77" s="76"/>
      <c r="BA77" s="76"/>
      <c r="BB77" s="92">
        <v>7142</v>
      </c>
      <c r="BC77" s="92">
        <v>12139</v>
      </c>
      <c r="BD77" s="92">
        <v>53862</v>
      </c>
      <c r="BE77" s="92">
        <v>114302</v>
      </c>
      <c r="BF77" s="92">
        <v>0</v>
      </c>
      <c r="BG77" s="92">
        <v>61839</v>
      </c>
      <c r="BH77" s="92">
        <v>18887</v>
      </c>
      <c r="BI77" s="92">
        <v>74121</v>
      </c>
      <c r="BJ77" s="92"/>
      <c r="BK77" s="92">
        <v>21175</v>
      </c>
      <c r="BL77" s="68">
        <f t="shared" si="12"/>
        <v>1293371.06</v>
      </c>
      <c r="BM77" s="68">
        <f t="shared" si="13"/>
        <v>1217548.78</v>
      </c>
    </row>
    <row r="78" spans="1:65" s="7" customFormat="1" x14ac:dyDescent="0.25">
      <c r="A78" s="3" t="s">
        <v>291</v>
      </c>
      <c r="B78" s="10"/>
      <c r="C78" s="10"/>
      <c r="D78" s="10"/>
      <c r="E78" s="10"/>
      <c r="F78" s="10">
        <v>174275</v>
      </c>
      <c r="G78" s="10">
        <v>513974</v>
      </c>
      <c r="H78" s="10">
        <v>7554</v>
      </c>
      <c r="I78" s="10">
        <v>23417</v>
      </c>
      <c r="J78" s="10"/>
      <c r="K78" s="10"/>
      <c r="L78" s="10"/>
      <c r="M78" s="10">
        <v>2</v>
      </c>
      <c r="N78" s="10"/>
      <c r="O78" s="10"/>
      <c r="P78" s="10"/>
      <c r="Q78" s="10"/>
      <c r="R78" s="10">
        <v>11185.67</v>
      </c>
      <c r="S78" s="10">
        <v>12958.94</v>
      </c>
      <c r="T78" s="10">
        <v>-384</v>
      </c>
      <c r="U78" s="10">
        <v>-211</v>
      </c>
      <c r="V78" s="10">
        <v>15660</v>
      </c>
      <c r="W78" s="10">
        <v>30357</v>
      </c>
      <c r="X78" s="10">
        <v>6212</v>
      </c>
      <c r="Y78" s="10">
        <v>11971</v>
      </c>
      <c r="Z78" s="10">
        <v>9118</v>
      </c>
      <c r="AA78" s="10">
        <v>12389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6640.94</v>
      </c>
      <c r="AM78" s="10">
        <v>9381.9699999999993</v>
      </c>
      <c r="AN78" s="10"/>
      <c r="AO78" s="10"/>
      <c r="AP78" s="10"/>
      <c r="AQ78" s="10"/>
      <c r="AR78" s="10">
        <v>29477</v>
      </c>
      <c r="AS78" s="10">
        <v>73328</v>
      </c>
      <c r="AT78" s="10"/>
      <c r="AU78" s="10"/>
      <c r="AV78" s="10">
        <v>13607</v>
      </c>
      <c r="AW78" s="10">
        <v>31065</v>
      </c>
      <c r="AX78" s="10"/>
      <c r="AY78" s="10"/>
      <c r="AZ78" s="10"/>
      <c r="BA78" s="10"/>
      <c r="BB78" s="10">
        <v>-10</v>
      </c>
      <c r="BC78" s="10">
        <v>-4973</v>
      </c>
      <c r="BD78" s="10">
        <v>36037</v>
      </c>
      <c r="BE78" s="10">
        <v>54057</v>
      </c>
      <c r="BF78" s="10">
        <v>14293</v>
      </c>
      <c r="BG78" s="10">
        <v>47305</v>
      </c>
      <c r="BH78" s="10">
        <v>-685</v>
      </c>
      <c r="BI78" s="10">
        <v>-9859</v>
      </c>
      <c r="BJ78" s="10">
        <v>3377</v>
      </c>
      <c r="BK78" s="10">
        <v>2160</v>
      </c>
      <c r="BL78" s="63">
        <f t="shared" si="12"/>
        <v>326357.61</v>
      </c>
      <c r="BM78" s="63">
        <f t="shared" si="13"/>
        <v>807322.90999999992</v>
      </c>
    </row>
    <row r="79" spans="1:65" x14ac:dyDescent="0.25">
      <c r="A79" s="28"/>
    </row>
    <row r="80" spans="1:65" x14ac:dyDescent="0.25">
      <c r="A80" s="29" t="s">
        <v>188</v>
      </c>
    </row>
    <row r="81" spans="1:65" x14ac:dyDescent="0.25">
      <c r="A81" s="3" t="s">
        <v>0</v>
      </c>
      <c r="B81" s="153" t="s">
        <v>1</v>
      </c>
      <c r="C81" s="154"/>
      <c r="D81" s="153" t="s">
        <v>234</v>
      </c>
      <c r="E81" s="154"/>
      <c r="F81" s="153" t="s">
        <v>2</v>
      </c>
      <c r="G81" s="154"/>
      <c r="H81" s="153" t="s">
        <v>3</v>
      </c>
      <c r="I81" s="154"/>
      <c r="J81" s="153" t="s">
        <v>243</v>
      </c>
      <c r="K81" s="154"/>
      <c r="L81" s="153" t="s">
        <v>235</v>
      </c>
      <c r="M81" s="154"/>
      <c r="N81" s="153" t="s">
        <v>5</v>
      </c>
      <c r="O81" s="154"/>
      <c r="P81" s="153" t="s">
        <v>4</v>
      </c>
      <c r="Q81" s="154"/>
      <c r="R81" s="153" t="s">
        <v>6</v>
      </c>
      <c r="S81" s="154"/>
      <c r="T81" s="153" t="s">
        <v>246</v>
      </c>
      <c r="U81" s="154"/>
      <c r="V81" s="153" t="s">
        <v>7</v>
      </c>
      <c r="W81" s="154"/>
      <c r="X81" s="153" t="s">
        <v>8</v>
      </c>
      <c r="Y81" s="154"/>
      <c r="Z81" s="153" t="s">
        <v>9</v>
      </c>
      <c r="AA81" s="154"/>
      <c r="AB81" s="153" t="s">
        <v>242</v>
      </c>
      <c r="AC81" s="154"/>
      <c r="AD81" s="153" t="s">
        <v>10</v>
      </c>
      <c r="AE81" s="154"/>
      <c r="AF81" s="153" t="s">
        <v>11</v>
      </c>
      <c r="AG81" s="154"/>
      <c r="AH81" s="153" t="s">
        <v>236</v>
      </c>
      <c r="AI81" s="154"/>
      <c r="AJ81" s="153" t="s">
        <v>245</v>
      </c>
      <c r="AK81" s="154"/>
      <c r="AL81" s="153" t="s">
        <v>12</v>
      </c>
      <c r="AM81" s="154"/>
      <c r="AN81" s="153" t="s">
        <v>237</v>
      </c>
      <c r="AO81" s="154"/>
      <c r="AP81" s="153" t="s">
        <v>238</v>
      </c>
      <c r="AQ81" s="154"/>
      <c r="AR81" s="153" t="s">
        <v>241</v>
      </c>
      <c r="AS81" s="154"/>
      <c r="AT81" s="153" t="s">
        <v>13</v>
      </c>
      <c r="AU81" s="154"/>
      <c r="AV81" s="153" t="s">
        <v>14</v>
      </c>
      <c r="AW81" s="154"/>
      <c r="AX81" s="153" t="s">
        <v>15</v>
      </c>
      <c r="AY81" s="154"/>
      <c r="AZ81" s="153" t="s">
        <v>16</v>
      </c>
      <c r="BA81" s="154"/>
      <c r="BB81" s="153" t="s">
        <v>17</v>
      </c>
      <c r="BC81" s="154"/>
      <c r="BD81" s="153" t="s">
        <v>239</v>
      </c>
      <c r="BE81" s="154"/>
      <c r="BF81" s="153" t="s">
        <v>240</v>
      </c>
      <c r="BG81" s="154"/>
      <c r="BH81" s="153" t="s">
        <v>18</v>
      </c>
      <c r="BI81" s="154"/>
      <c r="BJ81" s="153" t="s">
        <v>19</v>
      </c>
      <c r="BK81" s="154"/>
      <c r="BL81" s="155" t="s">
        <v>20</v>
      </c>
      <c r="BM81" s="156"/>
    </row>
    <row r="82" spans="1:65" ht="30" x14ac:dyDescent="0.25">
      <c r="A82" s="3"/>
      <c r="B82" s="53" t="s">
        <v>303</v>
      </c>
      <c r="C82" s="54" t="s">
        <v>302</v>
      </c>
      <c r="D82" s="53" t="s">
        <v>303</v>
      </c>
      <c r="E82" s="54" t="s">
        <v>302</v>
      </c>
      <c r="F82" s="53" t="s">
        <v>303</v>
      </c>
      <c r="G82" s="54" t="s">
        <v>302</v>
      </c>
      <c r="H82" s="53" t="s">
        <v>303</v>
      </c>
      <c r="I82" s="54" t="s">
        <v>302</v>
      </c>
      <c r="J82" s="53" t="s">
        <v>303</v>
      </c>
      <c r="K82" s="54" t="s">
        <v>302</v>
      </c>
      <c r="L82" s="53" t="s">
        <v>303</v>
      </c>
      <c r="M82" s="54" t="s">
        <v>302</v>
      </c>
      <c r="N82" s="53" t="s">
        <v>303</v>
      </c>
      <c r="O82" s="54" t="s">
        <v>302</v>
      </c>
      <c r="P82" s="53" t="s">
        <v>303</v>
      </c>
      <c r="Q82" s="54" t="s">
        <v>302</v>
      </c>
      <c r="R82" s="53" t="s">
        <v>303</v>
      </c>
      <c r="S82" s="54" t="s">
        <v>302</v>
      </c>
      <c r="T82" s="53" t="s">
        <v>303</v>
      </c>
      <c r="U82" s="54" t="s">
        <v>302</v>
      </c>
      <c r="V82" s="53" t="s">
        <v>303</v>
      </c>
      <c r="W82" s="54" t="s">
        <v>302</v>
      </c>
      <c r="X82" s="53" t="s">
        <v>303</v>
      </c>
      <c r="Y82" s="54" t="s">
        <v>302</v>
      </c>
      <c r="Z82" s="53" t="s">
        <v>303</v>
      </c>
      <c r="AA82" s="54" t="s">
        <v>302</v>
      </c>
      <c r="AB82" s="53" t="s">
        <v>303</v>
      </c>
      <c r="AC82" s="54" t="s">
        <v>302</v>
      </c>
      <c r="AD82" s="53" t="s">
        <v>303</v>
      </c>
      <c r="AE82" s="54" t="s">
        <v>302</v>
      </c>
      <c r="AF82" s="53" t="s">
        <v>303</v>
      </c>
      <c r="AG82" s="54" t="s">
        <v>302</v>
      </c>
      <c r="AH82" s="53" t="s">
        <v>303</v>
      </c>
      <c r="AI82" s="54" t="s">
        <v>302</v>
      </c>
      <c r="AJ82" s="53" t="s">
        <v>303</v>
      </c>
      <c r="AK82" s="54" t="s">
        <v>302</v>
      </c>
      <c r="AL82" s="53" t="s">
        <v>303</v>
      </c>
      <c r="AM82" s="54" t="s">
        <v>302</v>
      </c>
      <c r="AN82" s="53" t="s">
        <v>303</v>
      </c>
      <c r="AO82" s="54" t="s">
        <v>302</v>
      </c>
      <c r="AP82" s="53" t="s">
        <v>303</v>
      </c>
      <c r="AQ82" s="54" t="s">
        <v>302</v>
      </c>
      <c r="AR82" s="53" t="s">
        <v>303</v>
      </c>
      <c r="AS82" s="54" t="s">
        <v>302</v>
      </c>
      <c r="AT82" s="53" t="s">
        <v>303</v>
      </c>
      <c r="AU82" s="54" t="s">
        <v>302</v>
      </c>
      <c r="AV82" s="53" t="s">
        <v>303</v>
      </c>
      <c r="AW82" s="54" t="s">
        <v>302</v>
      </c>
      <c r="AX82" s="53" t="s">
        <v>303</v>
      </c>
      <c r="AY82" s="54" t="s">
        <v>302</v>
      </c>
      <c r="AZ82" s="53" t="s">
        <v>303</v>
      </c>
      <c r="BA82" s="54" t="s">
        <v>302</v>
      </c>
      <c r="BB82" s="53" t="s">
        <v>303</v>
      </c>
      <c r="BC82" s="54" t="s">
        <v>302</v>
      </c>
      <c r="BD82" s="53" t="s">
        <v>303</v>
      </c>
      <c r="BE82" s="54" t="s">
        <v>302</v>
      </c>
      <c r="BF82" s="53" t="s">
        <v>303</v>
      </c>
      <c r="BG82" s="54" t="s">
        <v>302</v>
      </c>
      <c r="BH82" s="53" t="s">
        <v>303</v>
      </c>
      <c r="BI82" s="54" t="s">
        <v>302</v>
      </c>
      <c r="BJ82" s="53" t="s">
        <v>303</v>
      </c>
      <c r="BK82" s="54" t="s">
        <v>302</v>
      </c>
      <c r="BL82" s="105" t="s">
        <v>303</v>
      </c>
      <c r="BM82" s="106" t="s">
        <v>302</v>
      </c>
    </row>
    <row r="83" spans="1:65" x14ac:dyDescent="0.25">
      <c r="A83" s="20" t="s">
        <v>285</v>
      </c>
      <c r="B83" s="76"/>
      <c r="C83" s="76"/>
      <c r="D83" s="76"/>
      <c r="E83" s="76"/>
      <c r="F83" s="76"/>
      <c r="G83" s="76"/>
      <c r="H83" s="92">
        <v>237</v>
      </c>
      <c r="I83" s="92">
        <v>4702</v>
      </c>
      <c r="J83" s="76"/>
      <c r="K83" s="76"/>
      <c r="L83" s="76"/>
      <c r="M83" s="76"/>
      <c r="N83" s="76"/>
      <c r="O83" s="76"/>
      <c r="P83" s="76"/>
      <c r="Q83" s="76"/>
      <c r="R83" s="92">
        <v>69.78</v>
      </c>
      <c r="S83" s="92">
        <v>180.37</v>
      </c>
      <c r="T83" s="76"/>
      <c r="U83" s="76"/>
      <c r="V83" s="92">
        <v>24</v>
      </c>
      <c r="W83" s="92">
        <v>24</v>
      </c>
      <c r="X83" s="92">
        <v>536</v>
      </c>
      <c r="Y83" s="92">
        <v>3571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2">
        <v>1886.24</v>
      </c>
      <c r="AM83" s="92">
        <v>2036.54</v>
      </c>
      <c r="AN83" s="76"/>
      <c r="AO83" s="76"/>
      <c r="AP83" s="76"/>
      <c r="AQ83" s="76"/>
      <c r="AR83" s="76">
        <v>2</v>
      </c>
      <c r="AS83" s="76">
        <v>419</v>
      </c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92">
        <v>6200</v>
      </c>
      <c r="BE83" s="92">
        <v>10420</v>
      </c>
      <c r="BF83" s="92">
        <v>131</v>
      </c>
      <c r="BG83" s="92">
        <v>2251</v>
      </c>
      <c r="BH83" s="92">
        <v>1551</v>
      </c>
      <c r="BI83" s="92">
        <v>3518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10637.02</v>
      </c>
      <c r="BM83" s="68">
        <f t="shared" ref="BM83:BM89" si="15">SUM(C83+E83+G83+I83+K83+M83+O83+Q83+S83+U83+W83+Y83+AA83+AC83+AE83+AG83+AI83+AK83+AM83+AO83+AQ83+AS83+AU83+AW83+AY83+BA83+BC83+BE83+BG83+BI83+BK83)</f>
        <v>27121.91</v>
      </c>
    </row>
    <row r="84" spans="1:65" x14ac:dyDescent="0.25">
      <c r="A84" s="20" t="s">
        <v>286</v>
      </c>
      <c r="B84" s="76"/>
      <c r="C84" s="76"/>
      <c r="D84" s="76"/>
      <c r="E84" s="76"/>
      <c r="F84" s="76"/>
      <c r="G84" s="76"/>
      <c r="H84" s="92"/>
      <c r="I84" s="92">
        <v>0</v>
      </c>
      <c r="J84" s="76"/>
      <c r="K84" s="76"/>
      <c r="L84" s="76"/>
      <c r="M84" s="76"/>
      <c r="N84" s="76"/>
      <c r="O84" s="76"/>
      <c r="P84" s="76"/>
      <c r="Q84" s="76"/>
      <c r="R84" s="92"/>
      <c r="S84" s="92"/>
      <c r="T84" s="76"/>
      <c r="U84" s="76"/>
      <c r="V84" s="92">
        <v>14</v>
      </c>
      <c r="W84" s="92">
        <v>15</v>
      </c>
      <c r="X84" s="92">
        <v>223</v>
      </c>
      <c r="Y84" s="92">
        <v>651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2">
        <v>795.11</v>
      </c>
      <c r="AM84" s="92">
        <v>3094.16</v>
      </c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92"/>
      <c r="BC84" s="92"/>
      <c r="BD84" s="92">
        <v>5398</v>
      </c>
      <c r="BE84" s="92">
        <v>5398</v>
      </c>
      <c r="BF84" s="92">
        <v>1676</v>
      </c>
      <c r="BG84" s="92">
        <v>7404</v>
      </c>
      <c r="BH84" s="92">
        <v>58</v>
      </c>
      <c r="BI84" s="92">
        <v>841</v>
      </c>
      <c r="BJ84" s="76"/>
      <c r="BK84" s="76"/>
      <c r="BL84" s="68">
        <f t="shared" si="14"/>
        <v>8164.1100000000006</v>
      </c>
      <c r="BM84" s="68">
        <f t="shared" si="15"/>
        <v>17403.16</v>
      </c>
    </row>
    <row r="85" spans="1:65" x14ac:dyDescent="0.25">
      <c r="A85" s="20" t="s">
        <v>287</v>
      </c>
      <c r="B85" s="76"/>
      <c r="C85" s="76"/>
      <c r="D85" s="76"/>
      <c r="E85" s="76"/>
      <c r="F85" s="76"/>
      <c r="G85" s="76"/>
      <c r="H85" s="92">
        <v>-49</v>
      </c>
      <c r="I85" s="92">
        <v>-4268</v>
      </c>
      <c r="J85" s="76"/>
      <c r="K85" s="76"/>
      <c r="L85" s="76"/>
      <c r="M85" s="76"/>
      <c r="N85" s="76"/>
      <c r="O85" s="76"/>
      <c r="P85" s="76"/>
      <c r="Q85" s="76"/>
      <c r="R85" s="92">
        <v>3.49</v>
      </c>
      <c r="S85" s="92">
        <v>9.02</v>
      </c>
      <c r="T85" s="76"/>
      <c r="U85" s="76"/>
      <c r="V85" s="92">
        <v>-24</v>
      </c>
      <c r="W85" s="92">
        <v>-24</v>
      </c>
      <c r="X85" s="92">
        <v>320</v>
      </c>
      <c r="Y85" s="92">
        <v>2664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2">
        <v>7.5</v>
      </c>
      <c r="AM85" s="92">
        <v>143.72</v>
      </c>
      <c r="AN85" s="76"/>
      <c r="AO85" s="76"/>
      <c r="AP85" s="76"/>
      <c r="AQ85" s="76"/>
      <c r="AR85" s="76">
        <v>2</v>
      </c>
      <c r="AS85" s="76">
        <v>419</v>
      </c>
      <c r="AT85" s="76"/>
      <c r="AU85" s="76"/>
      <c r="AV85" s="76"/>
      <c r="AW85" s="76"/>
      <c r="AX85" s="76"/>
      <c r="AY85" s="76"/>
      <c r="AZ85" s="76"/>
      <c r="BA85" s="76"/>
      <c r="BB85" s="92"/>
      <c r="BC85" s="92"/>
      <c r="BD85" s="92">
        <v>4708</v>
      </c>
      <c r="BE85" s="92">
        <v>8819</v>
      </c>
      <c r="BF85" s="92">
        <v>1480</v>
      </c>
      <c r="BG85" s="92">
        <v>4532</v>
      </c>
      <c r="BH85" s="92">
        <v>1417</v>
      </c>
      <c r="BI85" s="92">
        <v>3140</v>
      </c>
      <c r="BJ85" s="76"/>
      <c r="BK85" s="76"/>
      <c r="BL85" s="68">
        <f t="shared" si="14"/>
        <v>7864.99</v>
      </c>
      <c r="BM85" s="68">
        <f t="shared" si="15"/>
        <v>15434.740000000002</v>
      </c>
    </row>
    <row r="86" spans="1:65" s="7" customFormat="1" x14ac:dyDescent="0.25">
      <c r="A86" s="3" t="s">
        <v>288</v>
      </c>
      <c r="B86" s="10"/>
      <c r="C86" s="10"/>
      <c r="D86" s="10"/>
      <c r="E86" s="10"/>
      <c r="F86" s="10"/>
      <c r="G86" s="10"/>
      <c r="H86" s="10">
        <v>188</v>
      </c>
      <c r="I86" s="10">
        <v>434</v>
      </c>
      <c r="J86" s="10"/>
      <c r="K86" s="10"/>
      <c r="L86" s="10"/>
      <c r="M86" s="10"/>
      <c r="N86" s="10"/>
      <c r="O86" s="10"/>
      <c r="P86" s="10"/>
      <c r="Q86" s="10"/>
      <c r="R86" s="10">
        <v>66.290000000000006</v>
      </c>
      <c r="S86" s="10">
        <v>171.35</v>
      </c>
      <c r="T86" s="10"/>
      <c r="U86" s="10"/>
      <c r="V86" s="10">
        <v>14</v>
      </c>
      <c r="W86" s="10">
        <v>15</v>
      </c>
      <c r="X86" s="10">
        <v>439</v>
      </c>
      <c r="Y86" s="10">
        <v>1558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2673.85</v>
      </c>
      <c r="AM86" s="10">
        <v>4986.97</v>
      </c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v>6890</v>
      </c>
      <c r="BE86" s="10">
        <v>6999</v>
      </c>
      <c r="BF86" s="10">
        <v>327</v>
      </c>
      <c r="BG86" s="10">
        <v>5123</v>
      </c>
      <c r="BH86" s="10">
        <v>192</v>
      </c>
      <c r="BI86" s="10">
        <v>1219</v>
      </c>
      <c r="BJ86" s="10"/>
      <c r="BK86" s="10"/>
      <c r="BL86" s="63">
        <f t="shared" si="14"/>
        <v>10790.14</v>
      </c>
      <c r="BM86" s="63">
        <f t="shared" si="15"/>
        <v>20506.32</v>
      </c>
    </row>
    <row r="87" spans="1:65" x14ac:dyDescent="0.25">
      <c r="A87" s="20" t="s">
        <v>289</v>
      </c>
      <c r="B87" s="76"/>
      <c r="C87" s="76"/>
      <c r="D87" s="76"/>
      <c r="E87" s="76"/>
      <c r="F87" s="76"/>
      <c r="G87" s="76"/>
      <c r="H87" s="92">
        <v>1429</v>
      </c>
      <c r="I87" s="92">
        <v>1429</v>
      </c>
      <c r="J87" s="76"/>
      <c r="K87" s="76"/>
      <c r="L87" s="76"/>
      <c r="M87" s="76"/>
      <c r="N87" s="76"/>
      <c r="O87" s="76"/>
      <c r="P87" s="76"/>
      <c r="Q87" s="76"/>
      <c r="R87" s="92">
        <v>172.64</v>
      </c>
      <c r="S87" s="92">
        <v>172.64</v>
      </c>
      <c r="T87" s="76"/>
      <c r="U87" s="76"/>
      <c r="V87" s="92">
        <v>647</v>
      </c>
      <c r="W87" s="92">
        <v>647</v>
      </c>
      <c r="X87" s="92">
        <v>5294</v>
      </c>
      <c r="Y87" s="92">
        <v>5294</v>
      </c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92">
        <v>14385.58</v>
      </c>
      <c r="AM87" s="92">
        <v>14385.58</v>
      </c>
      <c r="AN87" s="76"/>
      <c r="AO87" s="76"/>
      <c r="AP87" s="76"/>
      <c r="AQ87" s="76"/>
      <c r="AR87" s="76">
        <v>1178</v>
      </c>
      <c r="AS87" s="76">
        <v>1178</v>
      </c>
      <c r="AT87" s="76"/>
      <c r="AU87" s="76"/>
      <c r="AV87" s="76">
        <v>2</v>
      </c>
      <c r="AW87" s="76">
        <v>2</v>
      </c>
      <c r="AX87" s="76"/>
      <c r="AY87" s="76"/>
      <c r="AZ87" s="76"/>
      <c r="BA87" s="76"/>
      <c r="BB87" s="76">
        <v>2</v>
      </c>
      <c r="BC87" s="76">
        <v>2</v>
      </c>
      <c r="BD87" s="92">
        <v>10807</v>
      </c>
      <c r="BE87" s="92">
        <v>10807</v>
      </c>
      <c r="BF87" s="92">
        <v>2038</v>
      </c>
      <c r="BG87" s="92">
        <v>10374</v>
      </c>
      <c r="BH87" s="92">
        <v>9277</v>
      </c>
      <c r="BI87" s="92">
        <v>9277</v>
      </c>
      <c r="BJ87" s="76"/>
      <c r="BK87" s="76"/>
      <c r="BL87" s="68">
        <f t="shared" si="14"/>
        <v>45232.22</v>
      </c>
      <c r="BM87" s="68">
        <f t="shared" si="15"/>
        <v>53568.22</v>
      </c>
    </row>
    <row r="88" spans="1:65" ht="15" customHeight="1" x14ac:dyDescent="0.25">
      <c r="A88" s="20" t="s">
        <v>290</v>
      </c>
      <c r="B88" s="76"/>
      <c r="C88" s="76"/>
      <c r="D88" s="76"/>
      <c r="E88" s="76"/>
      <c r="F88" s="76"/>
      <c r="G88" s="76"/>
      <c r="H88" s="92">
        <v>1623</v>
      </c>
      <c r="I88" s="92">
        <v>1893</v>
      </c>
      <c r="J88" s="76"/>
      <c r="K88" s="76"/>
      <c r="L88" s="76"/>
      <c r="M88" s="76"/>
      <c r="N88" s="76"/>
      <c r="O88" s="76"/>
      <c r="P88" s="76"/>
      <c r="Q88" s="76"/>
      <c r="R88" s="92">
        <v>170.97</v>
      </c>
      <c r="S88" s="92">
        <v>150.79</v>
      </c>
      <c r="T88" s="76"/>
      <c r="U88" s="76"/>
      <c r="V88" s="92">
        <v>-860</v>
      </c>
      <c r="W88" s="92">
        <v>-869</v>
      </c>
      <c r="X88" s="92">
        <v>5355</v>
      </c>
      <c r="Y88" s="92">
        <v>5093</v>
      </c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92">
        <v>13902.14</v>
      </c>
      <c r="AM88" s="92">
        <v>13015.64</v>
      </c>
      <c r="AN88" s="76"/>
      <c r="AO88" s="76"/>
      <c r="AP88" s="76"/>
      <c r="AQ88" s="76"/>
      <c r="AR88" s="76">
        <v>812</v>
      </c>
      <c r="AS88" s="76">
        <v>419</v>
      </c>
      <c r="AT88" s="76"/>
      <c r="AU88" s="76"/>
      <c r="AV88" s="76">
        <v>2</v>
      </c>
      <c r="AW88" s="76">
        <v>2</v>
      </c>
      <c r="AX88" s="76"/>
      <c r="AY88" s="76"/>
      <c r="AZ88" s="76"/>
      <c r="BA88" s="76"/>
      <c r="BB88" s="76">
        <v>2</v>
      </c>
      <c r="BC88" s="76">
        <v>24</v>
      </c>
      <c r="BD88" s="92">
        <v>13712</v>
      </c>
      <c r="BE88" s="92">
        <v>13374</v>
      </c>
      <c r="BF88" s="92">
        <v>0</v>
      </c>
      <c r="BG88" s="92">
        <v>11842</v>
      </c>
      <c r="BH88" s="92">
        <v>9279</v>
      </c>
      <c r="BI88" s="92">
        <v>9156</v>
      </c>
      <c r="BJ88" s="76"/>
      <c r="BK88" s="76"/>
      <c r="BL88" s="68">
        <f t="shared" si="14"/>
        <v>43998.11</v>
      </c>
      <c r="BM88" s="68">
        <f t="shared" si="15"/>
        <v>54100.43</v>
      </c>
    </row>
    <row r="89" spans="1:65" s="7" customFormat="1" x14ac:dyDescent="0.25">
      <c r="A89" s="3" t="s">
        <v>291</v>
      </c>
      <c r="B89" s="10"/>
      <c r="C89" s="10"/>
      <c r="D89" s="10"/>
      <c r="E89" s="10"/>
      <c r="F89" s="10"/>
      <c r="G89" s="10"/>
      <c r="H89" s="10">
        <v>-7</v>
      </c>
      <c r="I89" s="10">
        <v>-30</v>
      </c>
      <c r="J89" s="10"/>
      <c r="K89" s="10"/>
      <c r="L89" s="10"/>
      <c r="M89" s="10"/>
      <c r="N89" s="10"/>
      <c r="O89" s="10"/>
      <c r="P89" s="10"/>
      <c r="Q89" s="10"/>
      <c r="R89" s="10">
        <v>67.95</v>
      </c>
      <c r="S89" s="10">
        <v>193.2</v>
      </c>
      <c r="T89" s="10"/>
      <c r="U89" s="10"/>
      <c r="V89" s="10">
        <v>-200</v>
      </c>
      <c r="W89" s="10">
        <v>-208</v>
      </c>
      <c r="X89" s="10">
        <v>378</v>
      </c>
      <c r="Y89" s="10">
        <v>1759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3157.29</v>
      </c>
      <c r="AM89" s="10">
        <v>6356.92</v>
      </c>
      <c r="AN89" s="10"/>
      <c r="AO89" s="10"/>
      <c r="AP89" s="10"/>
      <c r="AQ89" s="10"/>
      <c r="AR89" s="10">
        <v>366</v>
      </c>
      <c r="AS89" s="10">
        <v>760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>
        <v>-22</v>
      </c>
      <c r="BD89" s="10">
        <v>3985</v>
      </c>
      <c r="BE89" s="10">
        <v>4432</v>
      </c>
      <c r="BF89" s="10">
        <v>2364</v>
      </c>
      <c r="BG89" s="10">
        <v>3656</v>
      </c>
      <c r="BH89" s="10">
        <v>190</v>
      </c>
      <c r="BI89" s="10">
        <v>1340</v>
      </c>
      <c r="BJ89" s="10"/>
      <c r="BK89" s="10"/>
      <c r="BL89" s="63">
        <f t="shared" si="14"/>
        <v>10301.24</v>
      </c>
      <c r="BM89" s="63">
        <f t="shared" si="15"/>
        <v>18237.12</v>
      </c>
    </row>
    <row r="90" spans="1:65" x14ac:dyDescent="0.25">
      <c r="A90" s="13"/>
    </row>
    <row r="91" spans="1:65" x14ac:dyDescent="0.25">
      <c r="A91" s="27" t="s">
        <v>189</v>
      </c>
    </row>
    <row r="92" spans="1:65" x14ac:dyDescent="0.25">
      <c r="A92" s="3" t="s">
        <v>0</v>
      </c>
      <c r="B92" s="153" t="s">
        <v>1</v>
      </c>
      <c r="C92" s="154"/>
      <c r="D92" s="153" t="s">
        <v>234</v>
      </c>
      <c r="E92" s="154"/>
      <c r="F92" s="153" t="s">
        <v>2</v>
      </c>
      <c r="G92" s="154"/>
      <c r="H92" s="153" t="s">
        <v>3</v>
      </c>
      <c r="I92" s="154"/>
      <c r="J92" s="153" t="s">
        <v>243</v>
      </c>
      <c r="K92" s="154"/>
      <c r="L92" s="153" t="s">
        <v>235</v>
      </c>
      <c r="M92" s="154"/>
      <c r="N92" s="153" t="s">
        <v>5</v>
      </c>
      <c r="O92" s="154"/>
      <c r="P92" s="153" t="s">
        <v>4</v>
      </c>
      <c r="Q92" s="154"/>
      <c r="R92" s="153" t="s">
        <v>6</v>
      </c>
      <c r="S92" s="154"/>
      <c r="T92" s="153" t="s">
        <v>246</v>
      </c>
      <c r="U92" s="154"/>
      <c r="V92" s="153" t="s">
        <v>7</v>
      </c>
      <c r="W92" s="154"/>
      <c r="X92" s="153" t="s">
        <v>8</v>
      </c>
      <c r="Y92" s="154"/>
      <c r="Z92" s="153" t="s">
        <v>9</v>
      </c>
      <c r="AA92" s="154"/>
      <c r="AB92" s="153" t="s">
        <v>242</v>
      </c>
      <c r="AC92" s="154"/>
      <c r="AD92" s="153" t="s">
        <v>10</v>
      </c>
      <c r="AE92" s="154"/>
      <c r="AF92" s="153" t="s">
        <v>11</v>
      </c>
      <c r="AG92" s="154"/>
      <c r="AH92" s="153" t="s">
        <v>236</v>
      </c>
      <c r="AI92" s="154"/>
      <c r="AJ92" s="153" t="s">
        <v>245</v>
      </c>
      <c r="AK92" s="154"/>
      <c r="AL92" s="153" t="s">
        <v>12</v>
      </c>
      <c r="AM92" s="154"/>
      <c r="AN92" s="153" t="s">
        <v>237</v>
      </c>
      <c r="AO92" s="154"/>
      <c r="AP92" s="153" t="s">
        <v>238</v>
      </c>
      <c r="AQ92" s="154"/>
      <c r="AR92" s="153" t="s">
        <v>241</v>
      </c>
      <c r="AS92" s="154"/>
      <c r="AT92" s="153" t="s">
        <v>13</v>
      </c>
      <c r="AU92" s="154"/>
      <c r="AV92" s="153" t="s">
        <v>14</v>
      </c>
      <c r="AW92" s="154"/>
      <c r="AX92" s="153" t="s">
        <v>15</v>
      </c>
      <c r="AY92" s="154"/>
      <c r="AZ92" s="153" t="s">
        <v>16</v>
      </c>
      <c r="BA92" s="154"/>
      <c r="BB92" s="153" t="s">
        <v>17</v>
      </c>
      <c r="BC92" s="154"/>
      <c r="BD92" s="153" t="s">
        <v>239</v>
      </c>
      <c r="BE92" s="154"/>
      <c r="BF92" s="153" t="s">
        <v>240</v>
      </c>
      <c r="BG92" s="154"/>
      <c r="BH92" s="153" t="s">
        <v>18</v>
      </c>
      <c r="BI92" s="154"/>
      <c r="BJ92" s="153" t="s">
        <v>19</v>
      </c>
      <c r="BK92" s="154"/>
      <c r="BL92" s="155" t="s">
        <v>20</v>
      </c>
      <c r="BM92" s="156"/>
    </row>
    <row r="93" spans="1:65" ht="30" x14ac:dyDescent="0.25">
      <c r="A93" s="3"/>
      <c r="B93" s="53" t="s">
        <v>303</v>
      </c>
      <c r="C93" s="54" t="s">
        <v>302</v>
      </c>
      <c r="D93" s="53" t="s">
        <v>303</v>
      </c>
      <c r="E93" s="54" t="s">
        <v>302</v>
      </c>
      <c r="F93" s="53" t="s">
        <v>303</v>
      </c>
      <c r="G93" s="54" t="s">
        <v>302</v>
      </c>
      <c r="H93" s="53" t="s">
        <v>303</v>
      </c>
      <c r="I93" s="54" t="s">
        <v>302</v>
      </c>
      <c r="J93" s="53" t="s">
        <v>303</v>
      </c>
      <c r="K93" s="54" t="s">
        <v>302</v>
      </c>
      <c r="L93" s="53" t="s">
        <v>303</v>
      </c>
      <c r="M93" s="54" t="s">
        <v>302</v>
      </c>
      <c r="N93" s="53" t="s">
        <v>303</v>
      </c>
      <c r="O93" s="54" t="s">
        <v>302</v>
      </c>
      <c r="P93" s="53" t="s">
        <v>303</v>
      </c>
      <c r="Q93" s="54" t="s">
        <v>302</v>
      </c>
      <c r="R93" s="53" t="s">
        <v>303</v>
      </c>
      <c r="S93" s="54" t="s">
        <v>302</v>
      </c>
      <c r="T93" s="53" t="s">
        <v>303</v>
      </c>
      <c r="U93" s="54" t="s">
        <v>302</v>
      </c>
      <c r="V93" s="53" t="s">
        <v>303</v>
      </c>
      <c r="W93" s="54" t="s">
        <v>302</v>
      </c>
      <c r="X93" s="53" t="s">
        <v>303</v>
      </c>
      <c r="Y93" s="54" t="s">
        <v>302</v>
      </c>
      <c r="Z93" s="53" t="s">
        <v>303</v>
      </c>
      <c r="AA93" s="54" t="s">
        <v>302</v>
      </c>
      <c r="AB93" s="53" t="s">
        <v>303</v>
      </c>
      <c r="AC93" s="54" t="s">
        <v>302</v>
      </c>
      <c r="AD93" s="53" t="s">
        <v>303</v>
      </c>
      <c r="AE93" s="54" t="s">
        <v>302</v>
      </c>
      <c r="AF93" s="53" t="s">
        <v>303</v>
      </c>
      <c r="AG93" s="54" t="s">
        <v>302</v>
      </c>
      <c r="AH93" s="53" t="s">
        <v>303</v>
      </c>
      <c r="AI93" s="54" t="s">
        <v>302</v>
      </c>
      <c r="AJ93" s="53" t="s">
        <v>303</v>
      </c>
      <c r="AK93" s="54" t="s">
        <v>302</v>
      </c>
      <c r="AL93" s="53" t="s">
        <v>303</v>
      </c>
      <c r="AM93" s="54" t="s">
        <v>302</v>
      </c>
      <c r="AN93" s="53" t="s">
        <v>303</v>
      </c>
      <c r="AO93" s="54" t="s">
        <v>302</v>
      </c>
      <c r="AP93" s="53" t="s">
        <v>303</v>
      </c>
      <c r="AQ93" s="54" t="s">
        <v>302</v>
      </c>
      <c r="AR93" s="53" t="s">
        <v>303</v>
      </c>
      <c r="AS93" s="54" t="s">
        <v>302</v>
      </c>
      <c r="AT93" s="53" t="s">
        <v>303</v>
      </c>
      <c r="AU93" s="54" t="s">
        <v>302</v>
      </c>
      <c r="AV93" s="53" t="s">
        <v>303</v>
      </c>
      <c r="AW93" s="54" t="s">
        <v>302</v>
      </c>
      <c r="AX93" s="53" t="s">
        <v>303</v>
      </c>
      <c r="AY93" s="54" t="s">
        <v>302</v>
      </c>
      <c r="AZ93" s="53" t="s">
        <v>303</v>
      </c>
      <c r="BA93" s="54" t="s">
        <v>302</v>
      </c>
      <c r="BB93" s="53" t="s">
        <v>303</v>
      </c>
      <c r="BC93" s="54" t="s">
        <v>302</v>
      </c>
      <c r="BD93" s="53" t="s">
        <v>303</v>
      </c>
      <c r="BE93" s="54" t="s">
        <v>302</v>
      </c>
      <c r="BF93" s="53" t="s">
        <v>303</v>
      </c>
      <c r="BG93" s="54" t="s">
        <v>302</v>
      </c>
      <c r="BH93" s="53" t="s">
        <v>303</v>
      </c>
      <c r="BI93" s="54" t="s">
        <v>302</v>
      </c>
      <c r="BJ93" s="53" t="s">
        <v>303</v>
      </c>
      <c r="BK93" s="54" t="s">
        <v>302</v>
      </c>
      <c r="BL93" s="105" t="s">
        <v>303</v>
      </c>
      <c r="BM93" s="106" t="s">
        <v>302</v>
      </c>
    </row>
    <row r="94" spans="1:65" x14ac:dyDescent="0.25">
      <c r="A94" s="20" t="s">
        <v>285</v>
      </c>
      <c r="B94" s="76">
        <f>B105-B83-B72-B61-B39-B28-B17-B6-B50</f>
        <v>1137</v>
      </c>
      <c r="C94" s="76">
        <f t="shared" ref="C94:AE94" si="16">C105-C83-C72-C61-C39-C28-C17-C6-C50</f>
        <v>2645</v>
      </c>
      <c r="D94" s="76">
        <f t="shared" si="16"/>
        <v>0</v>
      </c>
      <c r="E94" s="76">
        <f t="shared" si="16"/>
        <v>0</v>
      </c>
      <c r="F94" s="76">
        <f t="shared" si="16"/>
        <v>0</v>
      </c>
      <c r="G94" s="76">
        <f t="shared" si="16"/>
        <v>0</v>
      </c>
      <c r="H94" s="76">
        <f t="shared" si="16"/>
        <v>7437</v>
      </c>
      <c r="I94" s="76">
        <f t="shared" si="16"/>
        <v>24794</v>
      </c>
      <c r="J94" s="76">
        <f t="shared" si="16"/>
        <v>436</v>
      </c>
      <c r="K94" s="76">
        <f t="shared" si="16"/>
        <v>1066</v>
      </c>
      <c r="L94" s="76">
        <f t="shared" si="16"/>
        <v>602</v>
      </c>
      <c r="M94" s="76">
        <f t="shared" si="16"/>
        <v>1247</v>
      </c>
      <c r="N94" s="76">
        <f t="shared" si="16"/>
        <v>18331.09</v>
      </c>
      <c r="O94" s="76">
        <f t="shared" si="16"/>
        <v>33464.86</v>
      </c>
      <c r="P94" s="76">
        <f t="shared" si="16"/>
        <v>69.920000000000073</v>
      </c>
      <c r="Q94" s="76">
        <f t="shared" si="16"/>
        <v>168.47000000000298</v>
      </c>
      <c r="R94" s="76">
        <f t="shared" si="16"/>
        <v>5012.4599999999973</v>
      </c>
      <c r="S94" s="76">
        <f t="shared" si="16"/>
        <v>16995.37000000001</v>
      </c>
      <c r="T94" s="76">
        <f t="shared" si="16"/>
        <v>1059</v>
      </c>
      <c r="U94" s="76">
        <f t="shared" si="16"/>
        <v>6378</v>
      </c>
      <c r="V94" s="76">
        <f t="shared" si="16"/>
        <v>6194</v>
      </c>
      <c r="W94" s="76">
        <f t="shared" si="16"/>
        <v>14045</v>
      </c>
      <c r="X94" s="76">
        <f t="shared" si="16"/>
        <v>7664</v>
      </c>
      <c r="Y94" s="76">
        <f t="shared" si="16"/>
        <v>23837</v>
      </c>
      <c r="Z94" s="76">
        <f t="shared" si="16"/>
        <v>5737</v>
      </c>
      <c r="AA94" s="76">
        <f t="shared" si="16"/>
        <v>12075</v>
      </c>
      <c r="AB94" s="76">
        <f t="shared" si="16"/>
        <v>31</v>
      </c>
      <c r="AC94" s="76">
        <f t="shared" si="16"/>
        <v>135</v>
      </c>
      <c r="AD94" s="76">
        <f t="shared" si="16"/>
        <v>933</v>
      </c>
      <c r="AE94" s="76">
        <f t="shared" si="16"/>
        <v>1890</v>
      </c>
      <c r="AF94" s="76">
        <f t="shared" ref="AF94:BK94" si="17">AF105-AF83-AF72-AF61-AF39-AF28-AF17-AF6-AF50</f>
        <v>6.0900000000001455</v>
      </c>
      <c r="AG94" s="76">
        <f t="shared" si="17"/>
        <v>56.719999999998436</v>
      </c>
      <c r="AH94" s="76">
        <f t="shared" si="17"/>
        <v>21.190000000000509</v>
      </c>
      <c r="AI94" s="76">
        <f t="shared" si="17"/>
        <v>35.470000000001164</v>
      </c>
      <c r="AJ94" s="76">
        <f t="shared" si="17"/>
        <v>0</v>
      </c>
      <c r="AK94" s="76">
        <f t="shared" si="17"/>
        <v>0</v>
      </c>
      <c r="AL94" s="76">
        <f t="shared" si="17"/>
        <v>-11038.19000000009</v>
      </c>
      <c r="AM94" s="76">
        <f t="shared" si="17"/>
        <v>-29956.960000000021</v>
      </c>
      <c r="AN94" s="76">
        <f t="shared" si="17"/>
        <v>138</v>
      </c>
      <c r="AO94" s="76">
        <f t="shared" si="17"/>
        <v>396</v>
      </c>
      <c r="AP94" s="76">
        <f t="shared" si="17"/>
        <v>220</v>
      </c>
      <c r="AQ94" s="76">
        <f t="shared" si="17"/>
        <v>812</v>
      </c>
      <c r="AR94" s="76">
        <f t="shared" si="17"/>
        <v>1907</v>
      </c>
      <c r="AS94" s="76">
        <f t="shared" si="17"/>
        <v>4413</v>
      </c>
      <c r="AT94" s="76">
        <f t="shared" si="17"/>
        <v>149</v>
      </c>
      <c r="AU94" s="76">
        <f t="shared" si="17"/>
        <v>3464</v>
      </c>
      <c r="AV94" s="76">
        <f t="shared" ref="AV94:AW94" si="18">AV105-AV83-AV72-AV61-AV39-AV28-AV17-AV6-AV50</f>
        <v>1003</v>
      </c>
      <c r="AW94" s="76">
        <f t="shared" si="18"/>
        <v>2063</v>
      </c>
      <c r="AX94" s="76">
        <f t="shared" si="17"/>
        <v>137</v>
      </c>
      <c r="AY94" s="76">
        <f t="shared" si="17"/>
        <v>322</v>
      </c>
      <c r="AZ94" s="76">
        <f t="shared" si="17"/>
        <v>13</v>
      </c>
      <c r="BA94" s="76">
        <f t="shared" si="17"/>
        <v>75</v>
      </c>
      <c r="BB94" s="76">
        <f t="shared" si="17"/>
        <v>5329</v>
      </c>
      <c r="BC94" s="76">
        <f t="shared" si="17"/>
        <v>14447</v>
      </c>
      <c r="BD94" s="76">
        <f t="shared" si="17"/>
        <v>20142</v>
      </c>
      <c r="BE94" s="76">
        <f t="shared" si="17"/>
        <v>58463</v>
      </c>
      <c r="BF94" s="76">
        <f t="shared" si="17"/>
        <v>5975</v>
      </c>
      <c r="BG94" s="76">
        <f t="shared" si="17"/>
        <v>15948</v>
      </c>
      <c r="BH94" s="76">
        <f t="shared" si="17"/>
        <v>6777</v>
      </c>
      <c r="BI94" s="76">
        <f t="shared" si="17"/>
        <v>18184</v>
      </c>
      <c r="BJ94" s="76">
        <f t="shared" si="17"/>
        <v>-17464</v>
      </c>
      <c r="BK94" s="76">
        <f t="shared" si="17"/>
        <v>877</v>
      </c>
      <c r="BL94" s="68">
        <f t="shared" ref="BL94:BL100" si="19">SUM(B94+D94+F94+H94+J94+L94+N94+P94+R94+T94+V94+X94+Z94+AB94+AD94+AF94+AH94+AJ94+AL94+AN94+AP94+AR94+AT94+AV94+AX94+AZ94+BB94+BD94+BF94+BH94+BJ94)</f>
        <v>67958.55999999991</v>
      </c>
      <c r="BM94" s="68">
        <f t="shared" ref="BM94:BM100" si="20">SUM(C94+E94+G94+I94+K94+M94+O94+Q94+S94+U94+W94+Y94+AA94+AC94+AE94+AG94+AI94+AK94+AM94+AO94+AQ94+AS94+AU94+AW94+AY94+BA94+BC94+BE94+BG94+BI94+BK94)</f>
        <v>228339.93</v>
      </c>
    </row>
    <row r="95" spans="1:65" x14ac:dyDescent="0.25">
      <c r="A95" s="20" t="s">
        <v>286</v>
      </c>
      <c r="B95" s="76">
        <f t="shared" ref="B95:AE95" si="21">B106-B84-B73-B62-B40-B29-B18-B7-B51</f>
        <v>0</v>
      </c>
      <c r="C95" s="76">
        <f t="shared" si="21"/>
        <v>0</v>
      </c>
      <c r="D95" s="76">
        <f t="shared" si="21"/>
        <v>0</v>
      </c>
      <c r="E95" s="76">
        <f t="shared" si="21"/>
        <v>0</v>
      </c>
      <c r="F95" s="76">
        <f t="shared" si="21"/>
        <v>0</v>
      </c>
      <c r="G95" s="76">
        <f t="shared" si="21"/>
        <v>0</v>
      </c>
      <c r="H95" s="76">
        <f t="shared" si="21"/>
        <v>0</v>
      </c>
      <c r="I95" s="76">
        <f t="shared" si="21"/>
        <v>0</v>
      </c>
      <c r="J95" s="76">
        <f t="shared" si="21"/>
        <v>0</v>
      </c>
      <c r="K95" s="76">
        <f t="shared" si="21"/>
        <v>0</v>
      </c>
      <c r="L95" s="76">
        <f t="shared" si="21"/>
        <v>0</v>
      </c>
      <c r="M95" s="76">
        <f t="shared" si="21"/>
        <v>1</v>
      </c>
      <c r="N95" s="76">
        <f t="shared" si="21"/>
        <v>0</v>
      </c>
      <c r="O95" s="76">
        <f t="shared" si="21"/>
        <v>0</v>
      </c>
      <c r="P95" s="76">
        <f t="shared" si="21"/>
        <v>2.0000000000010232E-2</v>
      </c>
      <c r="Q95" s="76">
        <f t="shared" si="21"/>
        <v>1.0000000000047748E-2</v>
      </c>
      <c r="R95" s="76">
        <f t="shared" si="21"/>
        <v>0</v>
      </c>
      <c r="S95" s="76">
        <f t="shared" si="21"/>
        <v>0</v>
      </c>
      <c r="T95" s="76">
        <f t="shared" si="21"/>
        <v>0</v>
      </c>
      <c r="U95" s="76">
        <f t="shared" si="21"/>
        <v>-1</v>
      </c>
      <c r="V95" s="76">
        <f t="shared" si="21"/>
        <v>0</v>
      </c>
      <c r="W95" s="76">
        <f t="shared" si="21"/>
        <v>0</v>
      </c>
      <c r="X95" s="76">
        <f t="shared" si="21"/>
        <v>0</v>
      </c>
      <c r="Y95" s="76">
        <f t="shared" si="21"/>
        <v>0</v>
      </c>
      <c r="Z95" s="76">
        <f t="shared" si="21"/>
        <v>0</v>
      </c>
      <c r="AA95" s="76">
        <f t="shared" si="21"/>
        <v>0</v>
      </c>
      <c r="AB95" s="76">
        <f t="shared" si="21"/>
        <v>-0.16000000000000003</v>
      </c>
      <c r="AC95" s="76">
        <f t="shared" si="21"/>
        <v>0</v>
      </c>
      <c r="AD95" s="76">
        <f t="shared" si="21"/>
        <v>0</v>
      </c>
      <c r="AE95" s="76">
        <f t="shared" si="21"/>
        <v>0</v>
      </c>
      <c r="AF95" s="76">
        <f t="shared" ref="AF95:BK95" si="22">AF106-AF84-AF73-AF62-AF40-AF29-AF18-AF7-AF51</f>
        <v>0</v>
      </c>
      <c r="AG95" s="76">
        <f t="shared" si="22"/>
        <v>-2.2737367544323206E-13</v>
      </c>
      <c r="AH95" s="76">
        <f t="shared" si="22"/>
        <v>0</v>
      </c>
      <c r="AI95" s="76">
        <f t="shared" si="22"/>
        <v>0</v>
      </c>
      <c r="AJ95" s="76">
        <f t="shared" si="22"/>
        <v>0</v>
      </c>
      <c r="AK95" s="76">
        <f t="shared" si="22"/>
        <v>0</v>
      </c>
      <c r="AL95" s="76">
        <f t="shared" si="22"/>
        <v>648.22000000000014</v>
      </c>
      <c r="AM95" s="76">
        <f t="shared" si="22"/>
        <v>-3478.32</v>
      </c>
      <c r="AN95" s="76">
        <f t="shared" si="22"/>
        <v>0</v>
      </c>
      <c r="AO95" s="76">
        <f t="shared" si="22"/>
        <v>0</v>
      </c>
      <c r="AP95" s="76">
        <f t="shared" si="22"/>
        <v>7</v>
      </c>
      <c r="AQ95" s="76">
        <f t="shared" si="22"/>
        <v>42</v>
      </c>
      <c r="AR95" s="76">
        <f t="shared" si="22"/>
        <v>-1</v>
      </c>
      <c r="AS95" s="76">
        <f t="shared" si="22"/>
        <v>-1</v>
      </c>
      <c r="AT95" s="76">
        <f t="shared" si="22"/>
        <v>0</v>
      </c>
      <c r="AU95" s="76">
        <f t="shared" si="22"/>
        <v>53</v>
      </c>
      <c r="AV95" s="76">
        <f t="shared" ref="AV95:AW95" si="23">AV106-AV84-AV73-AV62-AV40-AV29-AV18-AV7-AV51</f>
        <v>1</v>
      </c>
      <c r="AW95" s="76">
        <f t="shared" si="23"/>
        <v>0</v>
      </c>
      <c r="AX95" s="76">
        <f t="shared" si="22"/>
        <v>0</v>
      </c>
      <c r="AY95" s="76">
        <f t="shared" si="22"/>
        <v>0</v>
      </c>
      <c r="AZ95" s="76">
        <f t="shared" si="22"/>
        <v>0</v>
      </c>
      <c r="BA95" s="76">
        <f t="shared" si="22"/>
        <v>0</v>
      </c>
      <c r="BB95" s="76">
        <f t="shared" si="22"/>
        <v>2</v>
      </c>
      <c r="BC95" s="76">
        <f t="shared" si="22"/>
        <v>132</v>
      </c>
      <c r="BD95" s="76">
        <f t="shared" si="22"/>
        <v>663</v>
      </c>
      <c r="BE95" s="76">
        <f t="shared" si="22"/>
        <v>663</v>
      </c>
      <c r="BF95" s="76">
        <f t="shared" si="22"/>
        <v>70</v>
      </c>
      <c r="BG95" s="76">
        <f t="shared" si="22"/>
        <v>613</v>
      </c>
      <c r="BH95" s="76">
        <f t="shared" si="22"/>
        <v>397</v>
      </c>
      <c r="BI95" s="76">
        <f t="shared" si="22"/>
        <v>445</v>
      </c>
      <c r="BJ95" s="76">
        <f t="shared" si="22"/>
        <v>0</v>
      </c>
      <c r="BK95" s="76">
        <f t="shared" si="22"/>
        <v>-1</v>
      </c>
      <c r="BL95" s="68">
        <f t="shared" si="19"/>
        <v>1787.0800000000002</v>
      </c>
      <c r="BM95" s="68">
        <f t="shared" si="20"/>
        <v>-1532.3100000000004</v>
      </c>
    </row>
    <row r="96" spans="1:65" x14ac:dyDescent="0.25">
      <c r="A96" s="20" t="s">
        <v>287</v>
      </c>
      <c r="B96" s="76">
        <f t="shared" ref="B96:AE96" si="24">B107-B85-B74-B63-B41-B30-B19-B8-B52</f>
        <v>681</v>
      </c>
      <c r="C96" s="76">
        <f t="shared" si="24"/>
        <v>1602</v>
      </c>
      <c r="D96" s="76">
        <f t="shared" si="24"/>
        <v>0</v>
      </c>
      <c r="E96" s="76">
        <f t="shared" si="24"/>
        <v>0</v>
      </c>
      <c r="F96" s="76">
        <f t="shared" si="24"/>
        <v>0</v>
      </c>
      <c r="G96" s="76">
        <f t="shared" si="24"/>
        <v>0</v>
      </c>
      <c r="H96" s="76">
        <f t="shared" si="24"/>
        <v>-3935</v>
      </c>
      <c r="I96" s="76">
        <f t="shared" si="24"/>
        <v>-15203</v>
      </c>
      <c r="J96" s="76">
        <f t="shared" si="24"/>
        <v>81</v>
      </c>
      <c r="K96" s="76">
        <f t="shared" si="24"/>
        <v>218</v>
      </c>
      <c r="L96" s="76">
        <f t="shared" si="24"/>
        <v>238</v>
      </c>
      <c r="M96" s="76">
        <f t="shared" si="24"/>
        <v>382</v>
      </c>
      <c r="N96" s="76">
        <f t="shared" si="24"/>
        <v>5194.74</v>
      </c>
      <c r="O96" s="76">
        <f t="shared" si="24"/>
        <v>9091.6</v>
      </c>
      <c r="P96" s="76">
        <f t="shared" si="24"/>
        <v>3.5300000000000296</v>
      </c>
      <c r="Q96" s="76">
        <f t="shared" si="24"/>
        <v>8.9999999999998863</v>
      </c>
      <c r="R96" s="76">
        <f t="shared" si="24"/>
        <v>1463.5400000000009</v>
      </c>
      <c r="S96" s="76">
        <f t="shared" si="24"/>
        <v>8583.880000000001</v>
      </c>
      <c r="T96" s="76">
        <f t="shared" si="24"/>
        <v>291</v>
      </c>
      <c r="U96" s="76">
        <f t="shared" si="24"/>
        <v>1442</v>
      </c>
      <c r="V96" s="76">
        <f t="shared" si="24"/>
        <v>-3325</v>
      </c>
      <c r="W96" s="76">
        <f t="shared" si="24"/>
        <v>-6254</v>
      </c>
      <c r="X96" s="76">
        <f t="shared" si="24"/>
        <v>2227</v>
      </c>
      <c r="Y96" s="76">
        <f t="shared" si="24"/>
        <v>8598</v>
      </c>
      <c r="Z96" s="76">
        <f t="shared" si="24"/>
        <v>1193</v>
      </c>
      <c r="AA96" s="76">
        <f t="shared" si="24"/>
        <v>2904</v>
      </c>
      <c r="AB96" s="76">
        <f t="shared" si="24"/>
        <v>16</v>
      </c>
      <c r="AC96" s="76">
        <f t="shared" si="24"/>
        <v>44</v>
      </c>
      <c r="AD96" s="76">
        <f t="shared" si="24"/>
        <v>225</v>
      </c>
      <c r="AE96" s="76">
        <f t="shared" si="24"/>
        <v>493</v>
      </c>
      <c r="AF96" s="76">
        <f t="shared" ref="AF96:BK96" si="25">AF107-AF85-AF74-AF63-AF41-AF30-AF19-AF8-AF52</f>
        <v>-1.4300000000001774</v>
      </c>
      <c r="AG96" s="76">
        <f t="shared" si="25"/>
        <v>-17.53000000000128</v>
      </c>
      <c r="AH96" s="76">
        <f t="shared" si="25"/>
        <v>0.61000000000001364</v>
      </c>
      <c r="AI96" s="76">
        <f t="shared" si="25"/>
        <v>1.4400000000000546</v>
      </c>
      <c r="AJ96" s="76">
        <f t="shared" si="25"/>
        <v>1</v>
      </c>
      <c r="AK96" s="76">
        <f t="shared" si="25"/>
        <v>-1</v>
      </c>
      <c r="AL96" s="76">
        <f t="shared" si="25"/>
        <v>-6666.6300000000028</v>
      </c>
      <c r="AM96" s="76">
        <f t="shared" si="25"/>
        <v>-1015.6300000000047</v>
      </c>
      <c r="AN96" s="76">
        <f t="shared" si="25"/>
        <v>-7</v>
      </c>
      <c r="AO96" s="76">
        <f t="shared" si="25"/>
        <v>-19</v>
      </c>
      <c r="AP96" s="76">
        <f t="shared" si="25"/>
        <v>39</v>
      </c>
      <c r="AQ96" s="76">
        <f t="shared" si="25"/>
        <v>289</v>
      </c>
      <c r="AR96" s="76">
        <f t="shared" si="25"/>
        <v>255</v>
      </c>
      <c r="AS96" s="76">
        <f t="shared" si="25"/>
        <v>1680</v>
      </c>
      <c r="AT96" s="76">
        <f t="shared" si="25"/>
        <v>41</v>
      </c>
      <c r="AU96" s="76">
        <f t="shared" si="25"/>
        <v>2331</v>
      </c>
      <c r="AV96" s="76">
        <f t="shared" ref="AV96:AW96" si="26">AV107-AV85-AV74-AV63-AV41-AV30-AV19-AV8-AV52</f>
        <v>354</v>
      </c>
      <c r="AW96" s="76">
        <f t="shared" si="26"/>
        <v>482</v>
      </c>
      <c r="AX96" s="76">
        <f t="shared" si="25"/>
        <v>63</v>
      </c>
      <c r="AY96" s="76">
        <f t="shared" si="25"/>
        <v>95</v>
      </c>
      <c r="AZ96" s="76">
        <f t="shared" si="25"/>
        <v>10</v>
      </c>
      <c r="BA96" s="76">
        <f t="shared" si="25"/>
        <v>-510</v>
      </c>
      <c r="BB96" s="76">
        <f t="shared" si="25"/>
        <v>1935</v>
      </c>
      <c r="BC96" s="76">
        <f t="shared" si="25"/>
        <v>5190</v>
      </c>
      <c r="BD96" s="76">
        <f t="shared" si="25"/>
        <v>288</v>
      </c>
      <c r="BE96" s="76">
        <f t="shared" si="25"/>
        <v>12116</v>
      </c>
      <c r="BF96" s="76">
        <f t="shared" si="25"/>
        <v>495</v>
      </c>
      <c r="BG96" s="76">
        <f t="shared" si="25"/>
        <v>1984</v>
      </c>
      <c r="BH96" s="76">
        <f t="shared" si="25"/>
        <v>705</v>
      </c>
      <c r="BI96" s="76">
        <f t="shared" si="25"/>
        <v>1630</v>
      </c>
      <c r="BJ96" s="76">
        <f t="shared" si="25"/>
        <v>756</v>
      </c>
      <c r="BK96" s="76">
        <f t="shared" si="25"/>
        <v>42</v>
      </c>
      <c r="BL96" s="68">
        <f t="shared" si="19"/>
        <v>2621.3599999999979</v>
      </c>
      <c r="BM96" s="68">
        <f t="shared" si="20"/>
        <v>36187.759999999995</v>
      </c>
    </row>
    <row r="97" spans="1:65" s="7" customFormat="1" x14ac:dyDescent="0.25">
      <c r="A97" s="3" t="s">
        <v>288</v>
      </c>
      <c r="B97" s="10">
        <f t="shared" ref="B97:AE97" si="27">B108-B86-B75-B64-B42-B31-B20-B9-B53</f>
        <v>455</v>
      </c>
      <c r="C97" s="10">
        <f t="shared" si="27"/>
        <v>1042</v>
      </c>
      <c r="D97" s="10">
        <f t="shared" si="27"/>
        <v>0</v>
      </c>
      <c r="E97" s="10">
        <f t="shared" si="27"/>
        <v>0</v>
      </c>
      <c r="F97" s="10">
        <f t="shared" si="27"/>
        <v>0</v>
      </c>
      <c r="G97" s="10">
        <f t="shared" si="27"/>
        <v>0</v>
      </c>
      <c r="H97" s="10">
        <f t="shared" si="27"/>
        <v>3504</v>
      </c>
      <c r="I97" s="10">
        <f t="shared" si="27"/>
        <v>9591</v>
      </c>
      <c r="J97" s="10">
        <f t="shared" si="27"/>
        <v>355</v>
      </c>
      <c r="K97" s="10">
        <f t="shared" si="27"/>
        <v>848</v>
      </c>
      <c r="L97" s="10">
        <f t="shared" si="27"/>
        <v>363</v>
      </c>
      <c r="M97" s="10">
        <f t="shared" si="27"/>
        <v>865</v>
      </c>
      <c r="N97" s="10">
        <f t="shared" si="27"/>
        <v>11568.56</v>
      </c>
      <c r="O97" s="10">
        <f t="shared" si="27"/>
        <v>19718.3</v>
      </c>
      <c r="P97" s="10">
        <f t="shared" si="27"/>
        <v>66.410000000000309</v>
      </c>
      <c r="Q97" s="10">
        <f t="shared" si="27"/>
        <v>159.47999999999774</v>
      </c>
      <c r="R97" s="10">
        <f t="shared" si="27"/>
        <v>3548.920000000001</v>
      </c>
      <c r="S97" s="10">
        <f t="shared" si="27"/>
        <v>8411.5</v>
      </c>
      <c r="T97" s="10">
        <f t="shared" si="27"/>
        <v>768</v>
      </c>
      <c r="U97" s="10">
        <f t="shared" si="27"/>
        <v>4935</v>
      </c>
      <c r="V97" s="10">
        <f t="shared" si="27"/>
        <v>2869</v>
      </c>
      <c r="W97" s="10">
        <f t="shared" si="27"/>
        <v>7788</v>
      </c>
      <c r="X97" s="10">
        <f t="shared" si="27"/>
        <v>5437</v>
      </c>
      <c r="Y97" s="10">
        <f t="shared" si="27"/>
        <v>15239</v>
      </c>
      <c r="Z97" s="10">
        <f t="shared" si="27"/>
        <v>4544</v>
      </c>
      <c r="AA97" s="10">
        <f t="shared" si="27"/>
        <v>9171</v>
      </c>
      <c r="AB97" s="10">
        <f t="shared" si="27"/>
        <v>16</v>
      </c>
      <c r="AC97" s="10">
        <f t="shared" si="27"/>
        <v>91</v>
      </c>
      <c r="AD97" s="10">
        <f t="shared" si="27"/>
        <v>708</v>
      </c>
      <c r="AE97" s="10">
        <f t="shared" si="27"/>
        <v>1398</v>
      </c>
      <c r="AF97" s="10">
        <f t="shared" ref="AF97:BK97" si="28">AF108-AF86-AF75-AF64-AF42-AF31-AF20-AF9-AF53</f>
        <v>4.6600000000009913</v>
      </c>
      <c r="AG97" s="10">
        <f t="shared" si="28"/>
        <v>39.189999999997781</v>
      </c>
      <c r="AH97" s="10">
        <f t="shared" si="28"/>
        <v>20.579999999999927</v>
      </c>
      <c r="AI97" s="10">
        <f t="shared" si="28"/>
        <v>34.039999999993597</v>
      </c>
      <c r="AJ97" s="10">
        <f t="shared" si="28"/>
        <v>-1</v>
      </c>
      <c r="AK97" s="10">
        <f t="shared" si="28"/>
        <v>0</v>
      </c>
      <c r="AL97" s="10">
        <f t="shared" si="28"/>
        <v>-3723.3399999999674</v>
      </c>
      <c r="AM97" s="10">
        <f t="shared" si="28"/>
        <v>-32419.679999999993</v>
      </c>
      <c r="AN97" s="10">
        <f t="shared" si="28"/>
        <v>132</v>
      </c>
      <c r="AO97" s="10">
        <f t="shared" si="28"/>
        <v>376</v>
      </c>
      <c r="AP97" s="10">
        <f t="shared" si="28"/>
        <v>189</v>
      </c>
      <c r="AQ97" s="10">
        <f t="shared" si="28"/>
        <v>563</v>
      </c>
      <c r="AR97" s="10">
        <f t="shared" si="28"/>
        <v>1650</v>
      </c>
      <c r="AS97" s="10">
        <f t="shared" si="28"/>
        <v>2734</v>
      </c>
      <c r="AT97" s="10">
        <f t="shared" si="28"/>
        <v>107</v>
      </c>
      <c r="AU97" s="10">
        <f t="shared" si="28"/>
        <v>1185</v>
      </c>
      <c r="AV97" s="10">
        <f t="shared" ref="AV97:AW99" si="29">AV108-AV86-AV75-AV64-AV42-AV31-AV20-AV9-AV53</f>
        <v>648</v>
      </c>
      <c r="AW97" s="10">
        <f t="shared" si="29"/>
        <v>1580</v>
      </c>
      <c r="AX97" s="10">
        <f t="shared" si="28"/>
        <v>74</v>
      </c>
      <c r="AY97" s="10">
        <f t="shared" si="28"/>
        <v>228</v>
      </c>
      <c r="AZ97" s="10">
        <f t="shared" si="28"/>
        <v>3</v>
      </c>
      <c r="BA97" s="10">
        <f t="shared" si="28"/>
        <v>585</v>
      </c>
      <c r="BB97" s="10">
        <f t="shared" si="28"/>
        <v>7158</v>
      </c>
      <c r="BC97" s="10">
        <f t="shared" si="28"/>
        <v>9391</v>
      </c>
      <c r="BD97" s="10">
        <f t="shared" si="28"/>
        <v>20518</v>
      </c>
      <c r="BE97" s="10">
        <f t="shared" si="28"/>
        <v>47009</v>
      </c>
      <c r="BF97" s="10">
        <f t="shared" si="28"/>
        <v>5546</v>
      </c>
      <c r="BG97" s="10">
        <f t="shared" si="28"/>
        <v>14574</v>
      </c>
      <c r="BH97" s="10">
        <f t="shared" si="28"/>
        <v>6470</v>
      </c>
      <c r="BI97" s="10">
        <f t="shared" si="28"/>
        <v>17001</v>
      </c>
      <c r="BJ97" s="10">
        <f t="shared" si="28"/>
        <v>-18224</v>
      </c>
      <c r="BK97" s="10">
        <f t="shared" si="28"/>
        <v>833</v>
      </c>
      <c r="BL97" s="63">
        <f t="shared" si="19"/>
        <v>54774.790000000037</v>
      </c>
      <c r="BM97" s="63">
        <f t="shared" si="20"/>
        <v>142969.83000000002</v>
      </c>
    </row>
    <row r="98" spans="1:65" x14ac:dyDescent="0.25">
      <c r="A98" s="20" t="s">
        <v>289</v>
      </c>
      <c r="B98" s="76">
        <f t="shared" ref="B98:AE98" si="30">B109-B87-B76-B65-B43-B32-B21-B10-B54</f>
        <v>453</v>
      </c>
      <c r="C98" s="76">
        <f t="shared" si="30"/>
        <v>453</v>
      </c>
      <c r="D98" s="76">
        <f t="shared" si="30"/>
        <v>0</v>
      </c>
      <c r="E98" s="76">
        <f t="shared" si="30"/>
        <v>0</v>
      </c>
      <c r="F98" s="76">
        <f t="shared" si="30"/>
        <v>0</v>
      </c>
      <c r="G98" s="76">
        <f t="shared" si="30"/>
        <v>0</v>
      </c>
      <c r="H98" s="76">
        <f t="shared" si="30"/>
        <v>25862</v>
      </c>
      <c r="I98" s="76">
        <f t="shared" si="30"/>
        <v>25862</v>
      </c>
      <c r="J98" s="76">
        <f t="shared" si="30"/>
        <v>2566</v>
      </c>
      <c r="K98" s="76">
        <f t="shared" si="30"/>
        <v>2566</v>
      </c>
      <c r="L98" s="76">
        <f t="shared" si="30"/>
        <v>1537</v>
      </c>
      <c r="M98" s="76">
        <f t="shared" si="30"/>
        <v>1537</v>
      </c>
      <c r="N98" s="76">
        <f t="shared" si="30"/>
        <v>-21725.54</v>
      </c>
      <c r="O98" s="76">
        <f t="shared" si="30"/>
        <v>733488.04</v>
      </c>
      <c r="P98" s="76">
        <f t="shared" si="30"/>
        <v>51.940000000000509</v>
      </c>
      <c r="Q98" s="76">
        <f t="shared" si="30"/>
        <v>51.940000000000509</v>
      </c>
      <c r="R98" s="76">
        <f t="shared" si="30"/>
        <v>10024.189999999999</v>
      </c>
      <c r="S98" s="76">
        <f t="shared" si="30"/>
        <v>10024.189999999999</v>
      </c>
      <c r="T98" s="76">
        <f t="shared" si="30"/>
        <v>7023</v>
      </c>
      <c r="U98" s="76">
        <f t="shared" si="30"/>
        <v>7023</v>
      </c>
      <c r="V98" s="76">
        <f t="shared" si="30"/>
        <v>19598</v>
      </c>
      <c r="W98" s="76">
        <f t="shared" si="30"/>
        <v>19598</v>
      </c>
      <c r="X98" s="76">
        <f t="shared" si="30"/>
        <v>55231</v>
      </c>
      <c r="Y98" s="76">
        <f t="shared" si="30"/>
        <v>55231</v>
      </c>
      <c r="Z98" s="76">
        <f t="shared" si="30"/>
        <v>90</v>
      </c>
      <c r="AA98" s="76">
        <f t="shared" si="30"/>
        <v>13380</v>
      </c>
      <c r="AB98" s="76">
        <f t="shared" si="30"/>
        <v>286</v>
      </c>
      <c r="AC98" s="76">
        <f t="shared" si="30"/>
        <v>286</v>
      </c>
      <c r="AD98" s="76">
        <f t="shared" si="30"/>
        <v>2481</v>
      </c>
      <c r="AE98" s="76">
        <f t="shared" si="30"/>
        <v>2481</v>
      </c>
      <c r="AF98" s="76">
        <f t="shared" ref="AF98:BK98" si="31">AF109-AF87-AF76-AF65-AF43-AF32-AF21-AF10-AF54</f>
        <v>559.60999999997603</v>
      </c>
      <c r="AG98" s="76">
        <f t="shared" si="31"/>
        <v>559.60999999997603</v>
      </c>
      <c r="AH98" s="76">
        <f t="shared" si="31"/>
        <v>45.200000000000728</v>
      </c>
      <c r="AI98" s="76">
        <f t="shared" si="31"/>
        <v>45.200000000000728</v>
      </c>
      <c r="AJ98" s="76">
        <f t="shared" si="31"/>
        <v>0</v>
      </c>
      <c r="AK98" s="76">
        <f t="shared" si="31"/>
        <v>0</v>
      </c>
      <c r="AL98" s="76">
        <f t="shared" si="31"/>
        <v>-114804.34999999986</v>
      </c>
      <c r="AM98" s="76">
        <f t="shared" si="31"/>
        <v>-114804.34999999986</v>
      </c>
      <c r="AN98" s="76">
        <f t="shared" si="31"/>
        <v>163</v>
      </c>
      <c r="AO98" s="76">
        <f t="shared" si="31"/>
        <v>163</v>
      </c>
      <c r="AP98" s="76">
        <f t="shared" si="31"/>
        <v>6726</v>
      </c>
      <c r="AQ98" s="76">
        <f t="shared" si="31"/>
        <v>6726</v>
      </c>
      <c r="AR98" s="76">
        <f t="shared" si="31"/>
        <v>9783</v>
      </c>
      <c r="AS98" s="76">
        <f t="shared" si="31"/>
        <v>9783</v>
      </c>
      <c r="AT98" s="76">
        <f t="shared" si="31"/>
        <v>4507</v>
      </c>
      <c r="AU98" s="76">
        <f t="shared" si="31"/>
        <v>4507</v>
      </c>
      <c r="AV98" s="76">
        <f t="shared" si="29"/>
        <v>7110</v>
      </c>
      <c r="AW98" s="76">
        <f t="shared" si="29"/>
        <v>7110</v>
      </c>
      <c r="AX98" s="76">
        <f t="shared" si="31"/>
        <v>1972</v>
      </c>
      <c r="AY98" s="76">
        <f t="shared" si="31"/>
        <v>1972</v>
      </c>
      <c r="AZ98" s="76">
        <f t="shared" si="31"/>
        <v>180</v>
      </c>
      <c r="BA98" s="76">
        <f t="shared" si="31"/>
        <v>180</v>
      </c>
      <c r="BB98" s="76">
        <f t="shared" si="31"/>
        <v>42227</v>
      </c>
      <c r="BC98" s="76">
        <f t="shared" si="31"/>
        <v>42227</v>
      </c>
      <c r="BD98" s="76">
        <f t="shared" si="31"/>
        <v>-3006011</v>
      </c>
      <c r="BE98" s="76">
        <f t="shared" si="31"/>
        <v>117928</v>
      </c>
      <c r="BF98" s="76">
        <f t="shared" si="31"/>
        <v>-1093</v>
      </c>
      <c r="BG98" s="76">
        <f t="shared" si="31"/>
        <v>37266</v>
      </c>
      <c r="BH98" s="76">
        <f t="shared" si="31"/>
        <v>43767</v>
      </c>
      <c r="BI98" s="76">
        <f t="shared" si="31"/>
        <v>43767</v>
      </c>
      <c r="BJ98" s="76">
        <f t="shared" si="31"/>
        <v>-11104</v>
      </c>
      <c r="BK98" s="76">
        <f t="shared" si="31"/>
        <v>3270</v>
      </c>
      <c r="BL98" s="68">
        <f t="shared" si="19"/>
        <v>-2912494.9499999997</v>
      </c>
      <c r="BM98" s="68">
        <f t="shared" si="20"/>
        <v>1032680.63</v>
      </c>
    </row>
    <row r="99" spans="1:65" ht="30" x14ac:dyDescent="0.25">
      <c r="A99" s="20" t="s">
        <v>290</v>
      </c>
      <c r="B99" s="76">
        <f t="shared" ref="B99:AE99" si="32">B110-B88-B77-B66-B44-B33-B22-B11-B55</f>
        <v>436</v>
      </c>
      <c r="C99" s="76">
        <f t="shared" si="32"/>
        <v>255</v>
      </c>
      <c r="D99" s="76">
        <f t="shared" si="32"/>
        <v>0</v>
      </c>
      <c r="E99" s="76">
        <f t="shared" si="32"/>
        <v>0</v>
      </c>
      <c r="F99" s="76">
        <f t="shared" si="32"/>
        <v>0</v>
      </c>
      <c r="G99" s="76">
        <f t="shared" si="32"/>
        <v>0</v>
      </c>
      <c r="H99" s="76">
        <f t="shared" si="32"/>
        <v>26169</v>
      </c>
      <c r="I99" s="76">
        <f t="shared" si="32"/>
        <v>24055</v>
      </c>
      <c r="J99" s="76">
        <f t="shared" si="32"/>
        <v>2455</v>
      </c>
      <c r="K99" s="76">
        <f t="shared" si="32"/>
        <v>2476</v>
      </c>
      <c r="L99" s="76">
        <f t="shared" si="32"/>
        <v>1310</v>
      </c>
      <c r="M99" s="76">
        <f t="shared" si="32"/>
        <v>1160</v>
      </c>
      <c r="N99" s="76">
        <f t="shared" si="32"/>
        <v>0</v>
      </c>
      <c r="O99" s="76">
        <f t="shared" si="32"/>
        <v>688534.8</v>
      </c>
      <c r="P99" s="76">
        <f t="shared" si="32"/>
        <v>52.430000000000291</v>
      </c>
      <c r="Q99" s="76">
        <f t="shared" si="32"/>
        <v>11.430000000001655</v>
      </c>
      <c r="R99" s="76">
        <f t="shared" si="32"/>
        <v>10168.570000000014</v>
      </c>
      <c r="S99" s="76">
        <f t="shared" si="32"/>
        <v>10641.39000000001</v>
      </c>
      <c r="T99" s="76">
        <f t="shared" si="32"/>
        <v>3907</v>
      </c>
      <c r="U99" s="76">
        <f t="shared" si="32"/>
        <v>1853</v>
      </c>
      <c r="V99" s="76">
        <f t="shared" si="32"/>
        <v>-20546</v>
      </c>
      <c r="W99" s="76">
        <f t="shared" si="32"/>
        <v>-18996</v>
      </c>
      <c r="X99" s="76">
        <f t="shared" si="32"/>
        <v>54957</v>
      </c>
      <c r="Y99" s="76">
        <f t="shared" si="32"/>
        <v>41793</v>
      </c>
      <c r="Z99" s="76">
        <f t="shared" si="32"/>
        <v>0</v>
      </c>
      <c r="AA99" s="76">
        <f t="shared" si="32"/>
        <v>10067</v>
      </c>
      <c r="AB99" s="76">
        <f t="shared" si="32"/>
        <v>271</v>
      </c>
      <c r="AC99" s="76">
        <f t="shared" si="32"/>
        <v>249.86000000000013</v>
      </c>
      <c r="AD99" s="76">
        <f t="shared" si="32"/>
        <v>2924</v>
      </c>
      <c r="AE99" s="76">
        <f t="shared" si="32"/>
        <v>3022</v>
      </c>
      <c r="AF99" s="76">
        <f t="shared" ref="AF99:BK99" si="33">AF110-AF88-AF77-AF66-AF44-AF33-AF22-AF11-AF55</f>
        <v>-493.15000000002283</v>
      </c>
      <c r="AG99" s="76">
        <f t="shared" si="33"/>
        <v>-410.39999999997713</v>
      </c>
      <c r="AH99" s="76">
        <f t="shared" si="33"/>
        <v>36.659999999998035</v>
      </c>
      <c r="AI99" s="76">
        <f t="shared" si="33"/>
        <v>26.440000000000509</v>
      </c>
      <c r="AJ99" s="76">
        <f t="shared" si="33"/>
        <v>0</v>
      </c>
      <c r="AK99" s="76">
        <f t="shared" si="33"/>
        <v>0</v>
      </c>
      <c r="AL99" s="76">
        <f t="shared" si="33"/>
        <v>-111717.45999999988</v>
      </c>
      <c r="AM99" s="76">
        <f t="shared" si="33"/>
        <v>-96741.190000000046</v>
      </c>
      <c r="AN99" s="76">
        <f t="shared" si="33"/>
        <v>-196</v>
      </c>
      <c r="AO99" s="76">
        <f t="shared" si="33"/>
        <v>-146</v>
      </c>
      <c r="AP99" s="76">
        <f t="shared" si="33"/>
        <v>6782</v>
      </c>
      <c r="AQ99" s="76">
        <f t="shared" si="33"/>
        <v>5581</v>
      </c>
      <c r="AR99" s="76">
        <f t="shared" si="33"/>
        <v>8972</v>
      </c>
      <c r="AS99" s="76">
        <f t="shared" si="33"/>
        <v>8693</v>
      </c>
      <c r="AT99" s="76">
        <f t="shared" si="33"/>
        <v>4552</v>
      </c>
      <c r="AU99" s="76">
        <f t="shared" si="33"/>
        <v>5608</v>
      </c>
      <c r="AV99" s="76">
        <f t="shared" si="29"/>
        <v>7240</v>
      </c>
      <c r="AW99" s="76">
        <f t="shared" si="29"/>
        <v>5810</v>
      </c>
      <c r="AX99" s="76">
        <f t="shared" si="33"/>
        <v>1921</v>
      </c>
      <c r="AY99" s="76">
        <f t="shared" si="33"/>
        <v>1532</v>
      </c>
      <c r="AZ99" s="76">
        <f t="shared" si="33"/>
        <v>205</v>
      </c>
      <c r="BA99" s="76">
        <f t="shared" si="33"/>
        <v>978</v>
      </c>
      <c r="BB99" s="76">
        <f>BB110-BB88-BB77-BB66-BB44-BB33-BB22-BB11-BB55</f>
        <v>40353</v>
      </c>
      <c r="BC99" s="76">
        <f t="shared" si="33"/>
        <v>37547</v>
      </c>
      <c r="BD99" s="76">
        <f t="shared" si="33"/>
        <v>-3007783</v>
      </c>
      <c r="BE99" s="76">
        <f t="shared" si="33"/>
        <v>124024</v>
      </c>
      <c r="BF99" s="76">
        <f t="shared" si="33"/>
        <v>19</v>
      </c>
      <c r="BG99" s="76">
        <f t="shared" si="33"/>
        <v>36468</v>
      </c>
      <c r="BH99" s="76">
        <f t="shared" si="33"/>
        <v>54542</v>
      </c>
      <c r="BI99" s="76">
        <f t="shared" si="33"/>
        <v>56308</v>
      </c>
      <c r="BJ99" s="76">
        <f t="shared" si="33"/>
        <v>-3231</v>
      </c>
      <c r="BK99" s="76">
        <f t="shared" si="33"/>
        <v>3462</v>
      </c>
      <c r="BL99" s="68">
        <f t="shared" si="19"/>
        <v>-2916693.9499999997</v>
      </c>
      <c r="BM99" s="68">
        <f t="shared" si="20"/>
        <v>953862.33</v>
      </c>
    </row>
    <row r="100" spans="1:65" s="7" customFormat="1" x14ac:dyDescent="0.25">
      <c r="A100" s="3" t="s">
        <v>291</v>
      </c>
      <c r="B100" s="10">
        <f>B111-B89-B78-B67-B56-B45-B34-B23-B12</f>
        <v>472</v>
      </c>
      <c r="C100" s="10">
        <f t="shared" ref="C100:AE100" si="34">C111-C89-C78-C67-C56-C45-C34-C23-C12</f>
        <v>1240</v>
      </c>
      <c r="D100" s="10">
        <f t="shared" si="34"/>
        <v>0</v>
      </c>
      <c r="E100" s="10">
        <f t="shared" si="34"/>
        <v>0</v>
      </c>
      <c r="F100" s="10">
        <f t="shared" si="34"/>
        <v>0</v>
      </c>
      <c r="G100" s="10">
        <f t="shared" si="34"/>
        <v>0</v>
      </c>
      <c r="H100" s="10">
        <f t="shared" si="34"/>
        <v>3198</v>
      </c>
      <c r="I100" s="10">
        <f t="shared" si="34"/>
        <v>11396</v>
      </c>
      <c r="J100" s="10">
        <f t="shared" si="34"/>
        <v>466</v>
      </c>
      <c r="K100" s="10">
        <f t="shared" si="34"/>
        <v>938</v>
      </c>
      <c r="L100" s="10">
        <f t="shared" si="34"/>
        <v>589</v>
      </c>
      <c r="M100" s="10">
        <f t="shared" si="34"/>
        <v>1241</v>
      </c>
      <c r="N100" s="10">
        <f t="shared" si="34"/>
        <v>-10156.98</v>
      </c>
      <c r="O100" s="10">
        <f t="shared" si="34"/>
        <v>64672.88</v>
      </c>
      <c r="P100" s="10">
        <f t="shared" si="34"/>
        <v>65.920000000000101</v>
      </c>
      <c r="Q100" s="10">
        <f t="shared" si="34"/>
        <v>199.99000000000046</v>
      </c>
      <c r="R100" s="10">
        <f t="shared" si="34"/>
        <v>3404.5699999999997</v>
      </c>
      <c r="S100" s="10">
        <f t="shared" si="34"/>
        <v>7794.2899999999972</v>
      </c>
      <c r="T100" s="10">
        <f t="shared" si="34"/>
        <v>3884</v>
      </c>
      <c r="U100" s="10">
        <f t="shared" si="34"/>
        <v>10105</v>
      </c>
      <c r="V100" s="10">
        <f t="shared" si="34"/>
        <v>1923</v>
      </c>
      <c r="W100" s="10">
        <f t="shared" si="34"/>
        <v>22841</v>
      </c>
      <c r="X100" s="10">
        <f t="shared" si="34"/>
        <v>5711</v>
      </c>
      <c r="Y100" s="10">
        <f t="shared" si="34"/>
        <v>20416</v>
      </c>
      <c r="Z100" s="10">
        <f t="shared" si="34"/>
        <v>4636</v>
      </c>
      <c r="AA100" s="10">
        <f t="shared" si="34"/>
        <v>12484</v>
      </c>
      <c r="AB100" s="10">
        <f t="shared" si="34"/>
        <v>31</v>
      </c>
      <c r="AC100" s="10">
        <f t="shared" si="34"/>
        <v>129</v>
      </c>
      <c r="AD100" s="10">
        <f t="shared" si="34"/>
        <v>267</v>
      </c>
      <c r="AE100" s="10">
        <f t="shared" si="34"/>
        <v>857</v>
      </c>
      <c r="AF100" s="10">
        <f t="shared" ref="AF100:BK100" si="35">AF111-AF89-AF78-AF67-AF56-AF45-AF34-AF23-AF12</f>
        <v>71.120000000000729</v>
      </c>
      <c r="AG100" s="10">
        <f t="shared" si="35"/>
        <v>188.40000000000236</v>
      </c>
      <c r="AH100" s="10">
        <f t="shared" si="35"/>
        <v>29.119999999998981</v>
      </c>
      <c r="AI100" s="10">
        <f t="shared" si="35"/>
        <v>52.770000000004075</v>
      </c>
      <c r="AJ100" s="10">
        <f t="shared" si="35"/>
        <v>-1</v>
      </c>
      <c r="AK100" s="10">
        <f t="shared" si="35"/>
        <v>0</v>
      </c>
      <c r="AL100" s="10">
        <f t="shared" si="35"/>
        <v>-6810.2499999999727</v>
      </c>
      <c r="AM100" s="10">
        <f t="shared" si="35"/>
        <v>-50482.820000000102</v>
      </c>
      <c r="AN100" s="10">
        <f t="shared" si="35"/>
        <v>98</v>
      </c>
      <c r="AO100" s="10">
        <f t="shared" si="35"/>
        <v>392</v>
      </c>
      <c r="AP100" s="10">
        <f t="shared" si="35"/>
        <v>133</v>
      </c>
      <c r="AQ100" s="10">
        <f t="shared" si="35"/>
        <v>1708</v>
      </c>
      <c r="AR100" s="10">
        <f t="shared" si="35"/>
        <v>2376</v>
      </c>
      <c r="AS100" s="10">
        <f t="shared" si="35"/>
        <v>3821</v>
      </c>
      <c r="AT100" s="10">
        <f t="shared" si="35"/>
        <v>64</v>
      </c>
      <c r="AU100" s="10">
        <f t="shared" si="35"/>
        <v>82</v>
      </c>
      <c r="AV100" s="10">
        <f>AV111-AV89-AV78-AV67-AV56-AV45-AV34-AV23-AV12</f>
        <v>517</v>
      </c>
      <c r="AW100" s="10">
        <f>AW111-AW89-AW78-AW67-AW56-AW45-AW34-AW23-AW12</f>
        <v>2883</v>
      </c>
      <c r="AX100" s="10">
        <f t="shared" si="35"/>
        <v>124</v>
      </c>
      <c r="AY100" s="10">
        <f t="shared" si="35"/>
        <v>669</v>
      </c>
      <c r="AZ100" s="10">
        <f t="shared" si="35"/>
        <v>-23</v>
      </c>
      <c r="BA100" s="10">
        <f t="shared" si="35"/>
        <v>-214</v>
      </c>
      <c r="BB100" s="10">
        <f>BB111-BB89-BB78-BB67-BB56-BB45-BB34-BB23-BB12</f>
        <v>5272</v>
      </c>
      <c r="BC100" s="10">
        <f t="shared" si="35"/>
        <v>14070</v>
      </c>
      <c r="BD100" s="10">
        <f t="shared" si="35"/>
        <v>22289</v>
      </c>
      <c r="BE100" s="10">
        <f t="shared" si="35"/>
        <v>40916</v>
      </c>
      <c r="BF100" s="10">
        <f t="shared" si="35"/>
        <v>4435</v>
      </c>
      <c r="BG100" s="10">
        <f t="shared" si="35"/>
        <v>15373</v>
      </c>
      <c r="BH100" s="10">
        <f t="shared" si="35"/>
        <v>-4303</v>
      </c>
      <c r="BI100" s="10">
        <f t="shared" si="35"/>
        <v>4461</v>
      </c>
      <c r="BJ100" s="10">
        <f t="shared" si="35"/>
        <v>-19621</v>
      </c>
      <c r="BK100" s="10">
        <f t="shared" si="35"/>
        <v>640</v>
      </c>
      <c r="BL100" s="63">
        <f t="shared" si="19"/>
        <v>19140.500000000029</v>
      </c>
      <c r="BM100" s="63">
        <f t="shared" si="20"/>
        <v>188873.50999999992</v>
      </c>
    </row>
    <row r="101" spans="1:65" x14ac:dyDescent="0.25">
      <c r="A101" s="13"/>
    </row>
    <row r="102" spans="1:65" x14ac:dyDescent="0.25">
      <c r="A102" s="27" t="s">
        <v>40</v>
      </c>
    </row>
    <row r="103" spans="1:65" x14ac:dyDescent="0.25">
      <c r="A103" s="3" t="s">
        <v>0</v>
      </c>
      <c r="B103" s="153" t="s">
        <v>1</v>
      </c>
      <c r="C103" s="154"/>
      <c r="D103" s="153" t="s">
        <v>234</v>
      </c>
      <c r="E103" s="154"/>
      <c r="F103" s="153" t="s">
        <v>2</v>
      </c>
      <c r="G103" s="154"/>
      <c r="H103" s="153" t="s">
        <v>3</v>
      </c>
      <c r="I103" s="154"/>
      <c r="J103" s="153" t="s">
        <v>243</v>
      </c>
      <c r="K103" s="154"/>
      <c r="L103" s="153" t="s">
        <v>235</v>
      </c>
      <c r="M103" s="154"/>
      <c r="N103" s="153" t="s">
        <v>5</v>
      </c>
      <c r="O103" s="154"/>
      <c r="P103" s="153" t="s">
        <v>4</v>
      </c>
      <c r="Q103" s="154"/>
      <c r="R103" s="153" t="s">
        <v>6</v>
      </c>
      <c r="S103" s="154"/>
      <c r="T103" s="153" t="s">
        <v>246</v>
      </c>
      <c r="U103" s="154"/>
      <c r="V103" s="153" t="s">
        <v>7</v>
      </c>
      <c r="W103" s="154"/>
      <c r="X103" s="153" t="s">
        <v>8</v>
      </c>
      <c r="Y103" s="154"/>
      <c r="Z103" s="153" t="s">
        <v>9</v>
      </c>
      <c r="AA103" s="154"/>
      <c r="AB103" s="153" t="s">
        <v>242</v>
      </c>
      <c r="AC103" s="154"/>
      <c r="AD103" s="153" t="s">
        <v>10</v>
      </c>
      <c r="AE103" s="154"/>
      <c r="AF103" s="153" t="s">
        <v>11</v>
      </c>
      <c r="AG103" s="154"/>
      <c r="AH103" s="153" t="s">
        <v>236</v>
      </c>
      <c r="AI103" s="154"/>
      <c r="AJ103" s="153" t="s">
        <v>245</v>
      </c>
      <c r="AK103" s="154"/>
      <c r="AL103" s="153" t="s">
        <v>12</v>
      </c>
      <c r="AM103" s="154"/>
      <c r="AN103" s="153" t="s">
        <v>237</v>
      </c>
      <c r="AO103" s="154"/>
      <c r="AP103" s="153" t="s">
        <v>238</v>
      </c>
      <c r="AQ103" s="154"/>
      <c r="AR103" s="153" t="s">
        <v>241</v>
      </c>
      <c r="AS103" s="154"/>
      <c r="AT103" s="153" t="s">
        <v>13</v>
      </c>
      <c r="AU103" s="154"/>
      <c r="AV103" s="153" t="s">
        <v>14</v>
      </c>
      <c r="AW103" s="154"/>
      <c r="AX103" s="153" t="s">
        <v>15</v>
      </c>
      <c r="AY103" s="154"/>
      <c r="AZ103" s="153" t="s">
        <v>16</v>
      </c>
      <c r="BA103" s="154"/>
      <c r="BB103" s="153" t="s">
        <v>17</v>
      </c>
      <c r="BC103" s="154"/>
      <c r="BD103" s="153" t="s">
        <v>239</v>
      </c>
      <c r="BE103" s="154"/>
      <c r="BF103" s="153" t="s">
        <v>240</v>
      </c>
      <c r="BG103" s="154"/>
      <c r="BH103" s="153" t="s">
        <v>18</v>
      </c>
      <c r="BI103" s="154"/>
      <c r="BJ103" s="153" t="s">
        <v>19</v>
      </c>
      <c r="BK103" s="154"/>
      <c r="BL103" s="155" t="s">
        <v>20</v>
      </c>
      <c r="BM103" s="156"/>
    </row>
    <row r="104" spans="1:65" ht="30" x14ac:dyDescent="0.25">
      <c r="A104" s="3"/>
      <c r="B104" s="53" t="s">
        <v>303</v>
      </c>
      <c r="C104" s="54" t="s">
        <v>302</v>
      </c>
      <c r="D104" s="53" t="s">
        <v>303</v>
      </c>
      <c r="E104" s="54" t="s">
        <v>302</v>
      </c>
      <c r="F104" s="53" t="s">
        <v>303</v>
      </c>
      <c r="G104" s="54" t="s">
        <v>302</v>
      </c>
      <c r="H104" s="53" t="s">
        <v>303</v>
      </c>
      <c r="I104" s="54" t="s">
        <v>302</v>
      </c>
      <c r="J104" s="53" t="s">
        <v>303</v>
      </c>
      <c r="K104" s="54" t="s">
        <v>302</v>
      </c>
      <c r="L104" s="53" t="s">
        <v>303</v>
      </c>
      <c r="M104" s="54" t="s">
        <v>302</v>
      </c>
      <c r="N104" s="53" t="s">
        <v>303</v>
      </c>
      <c r="O104" s="54" t="s">
        <v>302</v>
      </c>
      <c r="P104" s="53" t="s">
        <v>303</v>
      </c>
      <c r="Q104" s="54" t="s">
        <v>302</v>
      </c>
      <c r="R104" s="53" t="s">
        <v>303</v>
      </c>
      <c r="S104" s="54" t="s">
        <v>302</v>
      </c>
      <c r="T104" s="53" t="s">
        <v>303</v>
      </c>
      <c r="U104" s="54" t="s">
        <v>302</v>
      </c>
      <c r="V104" s="53" t="s">
        <v>303</v>
      </c>
      <c r="W104" s="54" t="s">
        <v>302</v>
      </c>
      <c r="X104" s="53" t="s">
        <v>303</v>
      </c>
      <c r="Y104" s="54" t="s">
        <v>302</v>
      </c>
      <c r="Z104" s="53" t="s">
        <v>303</v>
      </c>
      <c r="AA104" s="54" t="s">
        <v>302</v>
      </c>
      <c r="AB104" s="53" t="s">
        <v>303</v>
      </c>
      <c r="AC104" s="54" t="s">
        <v>302</v>
      </c>
      <c r="AD104" s="53" t="s">
        <v>303</v>
      </c>
      <c r="AE104" s="54" t="s">
        <v>302</v>
      </c>
      <c r="AF104" s="53" t="s">
        <v>303</v>
      </c>
      <c r="AG104" s="54" t="s">
        <v>302</v>
      </c>
      <c r="AH104" s="53" t="s">
        <v>303</v>
      </c>
      <c r="AI104" s="54" t="s">
        <v>302</v>
      </c>
      <c r="AJ104" s="53" t="s">
        <v>303</v>
      </c>
      <c r="AK104" s="54" t="s">
        <v>302</v>
      </c>
      <c r="AL104" s="53" t="s">
        <v>303</v>
      </c>
      <c r="AM104" s="54" t="s">
        <v>302</v>
      </c>
      <c r="AN104" s="53" t="s">
        <v>303</v>
      </c>
      <c r="AO104" s="54" t="s">
        <v>302</v>
      </c>
      <c r="AP104" s="53" t="s">
        <v>303</v>
      </c>
      <c r="AQ104" s="54" t="s">
        <v>302</v>
      </c>
      <c r="AR104" s="53" t="s">
        <v>303</v>
      </c>
      <c r="AS104" s="54" t="s">
        <v>302</v>
      </c>
      <c r="AT104" s="53" t="s">
        <v>303</v>
      </c>
      <c r="AU104" s="54" t="s">
        <v>302</v>
      </c>
      <c r="AV104" s="53" t="s">
        <v>303</v>
      </c>
      <c r="AW104" s="54" t="s">
        <v>302</v>
      </c>
      <c r="AX104" s="53" t="s">
        <v>303</v>
      </c>
      <c r="AY104" s="54" t="s">
        <v>302</v>
      </c>
      <c r="AZ104" s="53" t="s">
        <v>303</v>
      </c>
      <c r="BA104" s="54" t="s">
        <v>302</v>
      </c>
      <c r="BB104" s="53" t="s">
        <v>303</v>
      </c>
      <c r="BC104" s="54" t="s">
        <v>302</v>
      </c>
      <c r="BD104" s="53" t="s">
        <v>303</v>
      </c>
      <c r="BE104" s="54" t="s">
        <v>302</v>
      </c>
      <c r="BF104" s="53" t="s">
        <v>303</v>
      </c>
      <c r="BG104" s="54" t="s">
        <v>302</v>
      </c>
      <c r="BH104" s="53" t="s">
        <v>303</v>
      </c>
      <c r="BI104" s="54" t="s">
        <v>302</v>
      </c>
      <c r="BJ104" s="53" t="s">
        <v>303</v>
      </c>
      <c r="BK104" s="54" t="s">
        <v>302</v>
      </c>
      <c r="BL104" s="105" t="s">
        <v>303</v>
      </c>
      <c r="BM104" s="106" t="s">
        <v>302</v>
      </c>
    </row>
    <row r="105" spans="1:65" x14ac:dyDescent="0.25">
      <c r="A105" s="20" t="s">
        <v>285</v>
      </c>
      <c r="B105" s="92">
        <v>13480</v>
      </c>
      <c r="C105" s="92">
        <v>32429</v>
      </c>
      <c r="D105" s="92">
        <v>22690</v>
      </c>
      <c r="E105" s="92">
        <v>75412</v>
      </c>
      <c r="F105" s="92">
        <v>184406</v>
      </c>
      <c r="G105" s="92">
        <v>477048</v>
      </c>
      <c r="H105" s="92">
        <v>220914</v>
      </c>
      <c r="I105" s="92">
        <v>529351</v>
      </c>
      <c r="J105" s="92">
        <v>55044</v>
      </c>
      <c r="K105" s="92">
        <v>163727</v>
      </c>
      <c r="L105" s="92">
        <v>58361</v>
      </c>
      <c r="M105" s="92">
        <v>175731</v>
      </c>
      <c r="N105" s="92">
        <v>18331.09</v>
      </c>
      <c r="O105" s="92">
        <v>33464.86</v>
      </c>
      <c r="P105" s="91">
        <v>5244.79</v>
      </c>
      <c r="Q105" s="91">
        <v>15201.86</v>
      </c>
      <c r="R105" s="92">
        <v>52924.86</v>
      </c>
      <c r="S105" s="92">
        <v>155170.28</v>
      </c>
      <c r="T105" s="92">
        <v>25807</v>
      </c>
      <c r="U105" s="92">
        <v>35895</v>
      </c>
      <c r="V105" s="92">
        <v>225376</v>
      </c>
      <c r="W105" s="92">
        <v>614756</v>
      </c>
      <c r="X105" s="92">
        <v>270976</v>
      </c>
      <c r="Y105" s="92">
        <v>721015</v>
      </c>
      <c r="Z105" s="92">
        <v>185861</v>
      </c>
      <c r="AA105" s="92">
        <v>449621</v>
      </c>
      <c r="AB105" s="92">
        <v>7583</v>
      </c>
      <c r="AC105" s="92">
        <v>20288</v>
      </c>
      <c r="AD105" s="92">
        <v>19957</v>
      </c>
      <c r="AE105" s="92">
        <v>53825</v>
      </c>
      <c r="AF105" s="92">
        <v>14050.19</v>
      </c>
      <c r="AG105" s="92">
        <v>31853.02</v>
      </c>
      <c r="AH105" s="92">
        <v>16146.35</v>
      </c>
      <c r="AI105" s="92">
        <v>50557.79</v>
      </c>
      <c r="AJ105" s="92">
        <v>33284</v>
      </c>
      <c r="AK105" s="92">
        <v>102161</v>
      </c>
      <c r="AL105" s="92">
        <v>377069.7</v>
      </c>
      <c r="AM105" s="92">
        <v>894283.96</v>
      </c>
      <c r="AN105" s="92">
        <v>990</v>
      </c>
      <c r="AO105" s="92">
        <v>2474</v>
      </c>
      <c r="AP105" s="92">
        <v>5203</v>
      </c>
      <c r="AQ105" s="92">
        <v>13283</v>
      </c>
      <c r="AR105" s="76">
        <v>141107</v>
      </c>
      <c r="AS105" s="76">
        <v>313891</v>
      </c>
      <c r="AT105" s="92">
        <v>45117</v>
      </c>
      <c r="AU105" s="92">
        <v>123829</v>
      </c>
      <c r="AV105" s="92">
        <v>182496</v>
      </c>
      <c r="AW105" s="92">
        <v>424381</v>
      </c>
      <c r="AX105" s="92">
        <v>33904</v>
      </c>
      <c r="AY105" s="92">
        <v>74820</v>
      </c>
      <c r="AZ105" s="92">
        <v>257672</v>
      </c>
      <c r="BA105" s="92">
        <v>697442</v>
      </c>
      <c r="BB105" s="92">
        <v>108471</v>
      </c>
      <c r="BC105" s="92">
        <v>277905</v>
      </c>
      <c r="BD105" s="92">
        <v>740541</v>
      </c>
      <c r="BE105" s="92">
        <v>2133862</v>
      </c>
      <c r="BF105" s="92">
        <v>378436</v>
      </c>
      <c r="BG105" s="92">
        <v>922256</v>
      </c>
      <c r="BH105" s="92">
        <v>347838</v>
      </c>
      <c r="BI105" s="92">
        <v>1005484</v>
      </c>
      <c r="BJ105" s="92">
        <v>37507</v>
      </c>
      <c r="BK105" s="92">
        <v>121883</v>
      </c>
      <c r="BL105" s="68">
        <f t="shared" ref="BL105:BL111" si="36">SUM(B105+D105+F105+H105+J105+L105+N105+P105+R105+T105+V105+X105+Z105+AB105+AD105+AF105+AH105+AJ105+AL105+AN105+AP105+AR105+AT105+AV105+AX105+AZ105+BB105+BD105+BF105+BH105+BJ105)</f>
        <v>4086787.98</v>
      </c>
      <c r="BM105" s="68">
        <f t="shared" ref="BM105:BM111" si="37">SUM(C105+E105+G105+I105+K105+M105+O105+Q105+S105+U105+W105+Y105+AA105+AC105+AE105+AG105+AI105+AK105+AM105+AO105+AQ105+AS105+AU105+AW105+AY105+BA105+BC105+BE105+BG105+BI105+BK105)</f>
        <v>10743300.77</v>
      </c>
    </row>
    <row r="106" spans="1:65" x14ac:dyDescent="0.25">
      <c r="A106" s="20" t="s">
        <v>286</v>
      </c>
      <c r="B106" s="92"/>
      <c r="C106" s="92"/>
      <c r="D106" s="92"/>
      <c r="E106" s="92"/>
      <c r="F106" s="92">
        <v>0</v>
      </c>
      <c r="G106" s="92">
        <v>0</v>
      </c>
      <c r="H106" s="92">
        <v>817</v>
      </c>
      <c r="I106" s="92">
        <v>1338</v>
      </c>
      <c r="J106" s="92">
        <v>1251</v>
      </c>
      <c r="K106" s="92">
        <v>1118</v>
      </c>
      <c r="L106" s="92">
        <v>1</v>
      </c>
      <c r="M106" s="92">
        <v>-38</v>
      </c>
      <c r="N106" s="92"/>
      <c r="O106" s="92"/>
      <c r="P106" s="91">
        <v>194.06</v>
      </c>
      <c r="Q106" s="91">
        <v>400.23</v>
      </c>
      <c r="R106" s="92">
        <v>487.74</v>
      </c>
      <c r="S106" s="92">
        <v>1298.83</v>
      </c>
      <c r="T106" s="92">
        <v>2111</v>
      </c>
      <c r="U106" s="92">
        <v>31083</v>
      </c>
      <c r="V106" s="92">
        <v>587</v>
      </c>
      <c r="W106" s="92">
        <v>3668</v>
      </c>
      <c r="X106" s="92">
        <v>3823</v>
      </c>
      <c r="Y106" s="92">
        <v>9213</v>
      </c>
      <c r="Z106" s="92">
        <v>293</v>
      </c>
      <c r="AA106" s="92">
        <v>1445</v>
      </c>
      <c r="AB106" s="92">
        <v>1</v>
      </c>
      <c r="AC106" s="92">
        <v>-8</v>
      </c>
      <c r="AD106" s="92">
        <v>0</v>
      </c>
      <c r="AE106" s="92">
        <v>-21</v>
      </c>
      <c r="AF106" s="92">
        <v>635.87</v>
      </c>
      <c r="AG106" s="92">
        <v>2331.12</v>
      </c>
      <c r="AH106" s="92"/>
      <c r="AI106" s="92"/>
      <c r="AJ106" s="92"/>
      <c r="AK106" s="92"/>
      <c r="AL106" s="92">
        <v>1769.55</v>
      </c>
      <c r="AM106" s="92">
        <v>7725.83</v>
      </c>
      <c r="AN106" s="92">
        <v>0</v>
      </c>
      <c r="AO106" s="92">
        <v>-1</v>
      </c>
      <c r="AP106" s="92">
        <v>137</v>
      </c>
      <c r="AQ106" s="92">
        <v>205</v>
      </c>
      <c r="AR106" s="76">
        <v>461</v>
      </c>
      <c r="AS106" s="76">
        <v>881</v>
      </c>
      <c r="AT106" s="92">
        <v>204</v>
      </c>
      <c r="AU106" s="92">
        <v>1395</v>
      </c>
      <c r="AV106" s="92">
        <v>3481</v>
      </c>
      <c r="AW106" s="92">
        <v>3517</v>
      </c>
      <c r="AX106" s="92">
        <v>0</v>
      </c>
      <c r="AY106" s="92">
        <v>-20</v>
      </c>
      <c r="AZ106" s="92"/>
      <c r="BA106" s="92"/>
      <c r="BB106" s="92">
        <v>333</v>
      </c>
      <c r="BC106" s="92">
        <v>2386</v>
      </c>
      <c r="BD106" s="92">
        <v>77671</v>
      </c>
      <c r="BE106" s="92">
        <v>77671</v>
      </c>
      <c r="BF106" s="92">
        <v>5484</v>
      </c>
      <c r="BG106" s="92">
        <v>20477</v>
      </c>
      <c r="BH106" s="92">
        <v>3269</v>
      </c>
      <c r="BI106" s="92">
        <v>5339</v>
      </c>
      <c r="BJ106" s="92">
        <v>-3</v>
      </c>
      <c r="BK106" s="92">
        <v>-14</v>
      </c>
      <c r="BL106" s="68">
        <f t="shared" si="36"/>
        <v>103008.22</v>
      </c>
      <c r="BM106" s="68">
        <f t="shared" si="37"/>
        <v>171390.01</v>
      </c>
    </row>
    <row r="107" spans="1:65" x14ac:dyDescent="0.25">
      <c r="A107" s="20" t="s">
        <v>287</v>
      </c>
      <c r="B107" s="92">
        <v>3775</v>
      </c>
      <c r="C107" s="92">
        <v>8581</v>
      </c>
      <c r="D107" s="92">
        <v>4490</v>
      </c>
      <c r="E107" s="92">
        <v>12206</v>
      </c>
      <c r="F107" s="92">
        <v>101755</v>
      </c>
      <c r="G107" s="92">
        <v>310750</v>
      </c>
      <c r="H107" s="92">
        <v>-95197</v>
      </c>
      <c r="I107" s="92">
        <v>-194403</v>
      </c>
      <c r="J107" s="92">
        <v>14212</v>
      </c>
      <c r="K107" s="92">
        <v>44019</v>
      </c>
      <c r="L107" s="92">
        <v>14077</v>
      </c>
      <c r="M107" s="92">
        <v>35872</v>
      </c>
      <c r="N107" s="92">
        <v>5194.74</v>
      </c>
      <c r="O107" s="92">
        <v>9091.6</v>
      </c>
      <c r="P107" s="91">
        <v>606.71</v>
      </c>
      <c r="Q107" s="91">
        <v>1456.14</v>
      </c>
      <c r="R107" s="92">
        <v>15523.89</v>
      </c>
      <c r="S107" s="92">
        <v>49034.6</v>
      </c>
      <c r="T107" s="92">
        <v>6883</v>
      </c>
      <c r="U107" s="92">
        <v>15306</v>
      </c>
      <c r="V107" s="92">
        <v>-83818</v>
      </c>
      <c r="W107" s="92">
        <v>-257378</v>
      </c>
      <c r="X107" s="92">
        <v>66476</v>
      </c>
      <c r="Y107" s="92">
        <v>158835</v>
      </c>
      <c r="Z107" s="92">
        <v>67674</v>
      </c>
      <c r="AA107" s="92">
        <v>136962</v>
      </c>
      <c r="AB107" s="92">
        <v>1149</v>
      </c>
      <c r="AC107" s="92">
        <v>2430</v>
      </c>
      <c r="AD107" s="92">
        <v>2019</v>
      </c>
      <c r="AE107" s="92">
        <v>5092</v>
      </c>
      <c r="AF107" s="92">
        <v>-6121.02</v>
      </c>
      <c r="AG107" s="92">
        <v>-15847.02</v>
      </c>
      <c r="AH107" s="92">
        <v>806.14</v>
      </c>
      <c r="AI107" s="92">
        <v>2526.7199999999998</v>
      </c>
      <c r="AJ107" s="92">
        <v>7267</v>
      </c>
      <c r="AK107" s="92">
        <v>22690</v>
      </c>
      <c r="AL107" s="92">
        <v>32025.45</v>
      </c>
      <c r="AM107" s="92">
        <v>81253.11</v>
      </c>
      <c r="AN107" s="92">
        <v>-110</v>
      </c>
      <c r="AO107" s="92">
        <v>-247</v>
      </c>
      <c r="AP107" s="92">
        <v>478</v>
      </c>
      <c r="AQ107" s="92">
        <v>1371</v>
      </c>
      <c r="AR107" s="76">
        <v>70017</v>
      </c>
      <c r="AS107" s="76">
        <v>127569</v>
      </c>
      <c r="AT107" s="92">
        <v>10231</v>
      </c>
      <c r="AU107" s="92">
        <v>31248</v>
      </c>
      <c r="AV107" s="92">
        <v>97140</v>
      </c>
      <c r="AW107" s="92">
        <v>218535</v>
      </c>
      <c r="AX107" s="92">
        <v>2410</v>
      </c>
      <c r="AY107" s="92">
        <v>5425</v>
      </c>
      <c r="AZ107" s="92">
        <v>13529</v>
      </c>
      <c r="BA107" s="92">
        <v>37133</v>
      </c>
      <c r="BB107" s="92">
        <v>24009</v>
      </c>
      <c r="BC107" s="92">
        <v>68309</v>
      </c>
      <c r="BD107" s="92">
        <v>49350</v>
      </c>
      <c r="BE107" s="92">
        <v>223372</v>
      </c>
      <c r="BF107" s="92">
        <v>35378</v>
      </c>
      <c r="BG107" s="92">
        <v>94128</v>
      </c>
      <c r="BH107" s="92">
        <v>38697</v>
      </c>
      <c r="BI107" s="92">
        <v>126208</v>
      </c>
      <c r="BJ107" s="92">
        <v>7685</v>
      </c>
      <c r="BK107" s="92">
        <v>50991</v>
      </c>
      <c r="BL107" s="68">
        <f t="shared" si="36"/>
        <v>507611.91000000003</v>
      </c>
      <c r="BM107" s="68">
        <f t="shared" si="37"/>
        <v>1412519.15</v>
      </c>
    </row>
    <row r="108" spans="1:65" s="7" customFormat="1" x14ac:dyDescent="0.25">
      <c r="A108" s="3" t="s">
        <v>288</v>
      </c>
      <c r="B108" s="10">
        <v>9705</v>
      </c>
      <c r="C108" s="10">
        <v>23848</v>
      </c>
      <c r="D108" s="10">
        <v>18200</v>
      </c>
      <c r="E108" s="10">
        <v>63206</v>
      </c>
      <c r="F108" s="10">
        <v>82652</v>
      </c>
      <c r="G108" s="10">
        <v>166298</v>
      </c>
      <c r="H108" s="10">
        <v>126535</v>
      </c>
      <c r="I108" s="10">
        <v>336286</v>
      </c>
      <c r="J108" s="10">
        <v>42083</v>
      </c>
      <c r="K108" s="10">
        <v>120826</v>
      </c>
      <c r="L108" s="10">
        <v>44284</v>
      </c>
      <c r="M108" s="10">
        <v>139820</v>
      </c>
      <c r="N108" s="10">
        <v>11568.56</v>
      </c>
      <c r="O108" s="10">
        <v>19718.3</v>
      </c>
      <c r="P108" s="131">
        <v>4832.1400000000003</v>
      </c>
      <c r="Q108" s="131">
        <v>14145.95</v>
      </c>
      <c r="R108" s="10">
        <v>37888.71</v>
      </c>
      <c r="S108" s="10">
        <v>107434.52</v>
      </c>
      <c r="T108" s="10">
        <v>21035</v>
      </c>
      <c r="U108" s="10">
        <v>51672</v>
      </c>
      <c r="V108" s="10">
        <v>142145</v>
      </c>
      <c r="W108" s="10">
        <v>361047</v>
      </c>
      <c r="X108" s="10">
        <v>208323</v>
      </c>
      <c r="Y108" s="10">
        <v>571393</v>
      </c>
      <c r="Z108" s="10">
        <v>118480</v>
      </c>
      <c r="AA108" s="10">
        <v>314104</v>
      </c>
      <c r="AB108" s="10">
        <v>6435</v>
      </c>
      <c r="AC108" s="10">
        <v>17849</v>
      </c>
      <c r="AD108" s="10">
        <v>17938</v>
      </c>
      <c r="AE108" s="10">
        <v>48713</v>
      </c>
      <c r="AF108" s="10">
        <v>8565.0400000000009</v>
      </c>
      <c r="AG108" s="10">
        <v>18337.12</v>
      </c>
      <c r="AH108" s="10">
        <v>15340.21</v>
      </c>
      <c r="AI108" s="10">
        <v>48031.07</v>
      </c>
      <c r="AJ108" s="10">
        <v>26017</v>
      </c>
      <c r="AK108" s="10">
        <v>79471</v>
      </c>
      <c r="AL108" s="10">
        <v>346813.8</v>
      </c>
      <c r="AM108" s="10">
        <v>820756.67</v>
      </c>
      <c r="AN108" s="10">
        <v>880</v>
      </c>
      <c r="AO108" s="10">
        <v>2226</v>
      </c>
      <c r="AP108" s="10">
        <v>4862</v>
      </c>
      <c r="AQ108" s="10">
        <v>12118</v>
      </c>
      <c r="AR108" s="10">
        <v>71551</v>
      </c>
      <c r="AS108" s="10">
        <v>187203</v>
      </c>
      <c r="AT108" s="10">
        <v>35090</v>
      </c>
      <c r="AU108" s="10">
        <v>93977</v>
      </c>
      <c r="AV108" s="10">
        <v>88837</v>
      </c>
      <c r="AW108" s="10">
        <v>209364</v>
      </c>
      <c r="AX108" s="10">
        <v>31495</v>
      </c>
      <c r="AY108" s="10">
        <v>69375</v>
      </c>
      <c r="AZ108" s="10">
        <v>244143</v>
      </c>
      <c r="BA108" s="10">
        <v>660309</v>
      </c>
      <c r="BB108" s="10">
        <v>84794</v>
      </c>
      <c r="BC108" s="10">
        <v>211982</v>
      </c>
      <c r="BD108" s="10">
        <v>768863</v>
      </c>
      <c r="BE108" s="10">
        <v>1988161</v>
      </c>
      <c r="BF108" s="10">
        <v>348542</v>
      </c>
      <c r="BG108" s="10">
        <v>848604</v>
      </c>
      <c r="BH108" s="10">
        <v>312410</v>
      </c>
      <c r="BI108" s="10">
        <v>884615</v>
      </c>
      <c r="BJ108" s="10">
        <v>29818</v>
      </c>
      <c r="BK108" s="10">
        <v>70879</v>
      </c>
      <c r="BL108" s="63">
        <f t="shared" si="36"/>
        <v>3310125.46</v>
      </c>
      <c r="BM108" s="63">
        <f t="shared" si="37"/>
        <v>8561769.629999999</v>
      </c>
    </row>
    <row r="109" spans="1:65" x14ac:dyDescent="0.25">
      <c r="A109" s="20" t="s">
        <v>289</v>
      </c>
      <c r="B109" s="92">
        <v>19697</v>
      </c>
      <c r="C109" s="92">
        <v>19697</v>
      </c>
      <c r="D109" s="92">
        <v>14335</v>
      </c>
      <c r="E109" s="92">
        <v>14335</v>
      </c>
      <c r="F109" s="92">
        <v>1056794</v>
      </c>
      <c r="G109" s="92">
        <v>1056794</v>
      </c>
      <c r="H109" s="92">
        <v>1098567</v>
      </c>
      <c r="I109" s="92">
        <v>1098567</v>
      </c>
      <c r="J109" s="92">
        <v>47861</v>
      </c>
      <c r="K109" s="92">
        <v>47861</v>
      </c>
      <c r="L109" s="92">
        <v>689699</v>
      </c>
      <c r="M109" s="92">
        <v>689699</v>
      </c>
      <c r="N109" s="92">
        <v>-21725.54</v>
      </c>
      <c r="O109" s="92">
        <v>733488.04</v>
      </c>
      <c r="P109" s="91">
        <v>14751.59</v>
      </c>
      <c r="Q109" s="91">
        <v>14751.59</v>
      </c>
      <c r="R109" s="92">
        <v>280894.64</v>
      </c>
      <c r="S109" s="92">
        <v>280894.64</v>
      </c>
      <c r="T109" s="92">
        <v>346058</v>
      </c>
      <c r="U109" s="92">
        <v>346058</v>
      </c>
      <c r="V109" s="92">
        <v>691653</v>
      </c>
      <c r="W109" s="92">
        <v>691653</v>
      </c>
      <c r="X109" s="92">
        <v>1778797</v>
      </c>
      <c r="Y109" s="92">
        <v>1778797</v>
      </c>
      <c r="Z109" s="92">
        <v>11777</v>
      </c>
      <c r="AA109" s="92">
        <v>707816</v>
      </c>
      <c r="AB109" s="92">
        <v>44880</v>
      </c>
      <c r="AC109" s="92">
        <v>44880</v>
      </c>
      <c r="AD109" s="92">
        <v>126562</v>
      </c>
      <c r="AE109" s="92">
        <v>126562</v>
      </c>
      <c r="AF109" s="92">
        <v>192503.27</v>
      </c>
      <c r="AG109" s="92">
        <v>192503.27</v>
      </c>
      <c r="AH109" s="92">
        <v>10495.15</v>
      </c>
      <c r="AI109" s="92">
        <v>10495.15</v>
      </c>
      <c r="AJ109" s="92">
        <v>24418</v>
      </c>
      <c r="AK109" s="92">
        <v>24418</v>
      </c>
      <c r="AL109" s="92">
        <v>1874879.87</v>
      </c>
      <c r="AM109" s="92">
        <v>1874879.87</v>
      </c>
      <c r="AN109" s="92">
        <v>11880</v>
      </c>
      <c r="AO109" s="92">
        <v>11880</v>
      </c>
      <c r="AP109" s="92">
        <v>38312</v>
      </c>
      <c r="AQ109" s="92">
        <v>38312</v>
      </c>
      <c r="AR109" s="76">
        <v>766988</v>
      </c>
      <c r="AS109" s="76">
        <v>766988</v>
      </c>
      <c r="AT109" s="92">
        <v>445542</v>
      </c>
      <c r="AU109" s="92">
        <v>445542</v>
      </c>
      <c r="AV109" s="92">
        <v>410041</v>
      </c>
      <c r="AW109" s="92">
        <v>410041</v>
      </c>
      <c r="AX109" s="92">
        <v>764058</v>
      </c>
      <c r="AY109" s="92">
        <v>764058</v>
      </c>
      <c r="AZ109" s="92">
        <v>101149</v>
      </c>
      <c r="BA109" s="92">
        <v>101149</v>
      </c>
      <c r="BB109" s="92">
        <v>844926</v>
      </c>
      <c r="BC109" s="92">
        <v>844926</v>
      </c>
      <c r="BD109" s="92">
        <v>39315</v>
      </c>
      <c r="BE109" s="92">
        <v>3163254</v>
      </c>
      <c r="BF109" s="92">
        <v>-40551</v>
      </c>
      <c r="BG109" s="92">
        <v>1679449</v>
      </c>
      <c r="BH109" s="92">
        <v>2410108</v>
      </c>
      <c r="BI109" s="92">
        <v>2410108</v>
      </c>
      <c r="BJ109" s="92">
        <v>714</v>
      </c>
      <c r="BK109" s="92">
        <v>172926</v>
      </c>
      <c r="BL109" s="68">
        <f t="shared" si="36"/>
        <v>14095378.98</v>
      </c>
      <c r="BM109" s="68">
        <f t="shared" si="37"/>
        <v>20562782.559999999</v>
      </c>
    </row>
    <row r="110" spans="1:65" ht="15" customHeight="1" x14ac:dyDescent="0.25">
      <c r="A110" s="20" t="s">
        <v>290</v>
      </c>
      <c r="B110" s="92">
        <v>17584</v>
      </c>
      <c r="C110" s="92">
        <v>11354</v>
      </c>
      <c r="D110" s="92">
        <v>14682</v>
      </c>
      <c r="E110" s="92">
        <v>16216</v>
      </c>
      <c r="F110" s="92">
        <v>965171</v>
      </c>
      <c r="G110" s="92">
        <v>709118</v>
      </c>
      <c r="H110" s="92">
        <v>1090700</v>
      </c>
      <c r="I110" s="92">
        <v>1004027</v>
      </c>
      <c r="J110" s="92">
        <v>46583</v>
      </c>
      <c r="K110" s="92">
        <v>38388</v>
      </c>
      <c r="L110" s="92">
        <v>677393</v>
      </c>
      <c r="M110" s="92">
        <v>646301</v>
      </c>
      <c r="N110" s="76"/>
      <c r="O110" s="92">
        <v>688534.8</v>
      </c>
      <c r="P110" s="91">
        <v>14075.57</v>
      </c>
      <c r="Q110" s="91">
        <v>11822.84</v>
      </c>
      <c r="R110" s="92">
        <v>269481.83</v>
      </c>
      <c r="S110" s="92">
        <v>260917.92</v>
      </c>
      <c r="T110" s="92">
        <v>299064</v>
      </c>
      <c r="U110" s="92">
        <v>214941</v>
      </c>
      <c r="V110" s="92">
        <v>-691324</v>
      </c>
      <c r="W110" s="92">
        <v>-610509</v>
      </c>
      <c r="X110" s="92">
        <v>1756769</v>
      </c>
      <c r="Y110" s="92">
        <v>1339106</v>
      </c>
      <c r="Z110" s="92">
        <v>0</v>
      </c>
      <c r="AA110" s="92">
        <v>634771</v>
      </c>
      <c r="AB110" s="92">
        <v>42725</v>
      </c>
      <c r="AC110" s="92">
        <v>36012</v>
      </c>
      <c r="AD110" s="92">
        <v>122053</v>
      </c>
      <c r="AE110" s="92">
        <v>113187</v>
      </c>
      <c r="AF110" s="92">
        <v>-185987.66</v>
      </c>
      <c r="AG110" s="92">
        <v>-164778.81</v>
      </c>
      <c r="AH110" s="92">
        <v>11986.88</v>
      </c>
      <c r="AI110" s="92">
        <v>9696.5</v>
      </c>
      <c r="AJ110" s="92">
        <v>23954</v>
      </c>
      <c r="AK110" s="92">
        <v>23118</v>
      </c>
      <c r="AL110" s="92">
        <v>1951973.34</v>
      </c>
      <c r="AM110" s="92">
        <v>1832870.82</v>
      </c>
      <c r="AN110" s="92">
        <v>-11292</v>
      </c>
      <c r="AO110" s="92">
        <v>-10227</v>
      </c>
      <c r="AP110" s="92">
        <v>37087</v>
      </c>
      <c r="AQ110" s="92">
        <v>31995</v>
      </c>
      <c r="AR110" s="76">
        <v>727232</v>
      </c>
      <c r="AS110" s="76">
        <v>651572</v>
      </c>
      <c r="AT110" s="92">
        <v>434272</v>
      </c>
      <c r="AU110" s="92">
        <v>399762</v>
      </c>
      <c r="AV110" s="92">
        <v>402296</v>
      </c>
      <c r="AW110" s="92">
        <v>347057</v>
      </c>
      <c r="AX110" s="92">
        <v>765503</v>
      </c>
      <c r="AY110" s="92">
        <v>728086</v>
      </c>
      <c r="AZ110" s="92">
        <v>80871</v>
      </c>
      <c r="BA110" s="92">
        <v>85939</v>
      </c>
      <c r="BB110" s="92">
        <v>799708</v>
      </c>
      <c r="BC110" s="92">
        <v>688992</v>
      </c>
      <c r="BD110" s="92">
        <v>0</v>
      </c>
      <c r="BE110" s="92">
        <v>2998024</v>
      </c>
      <c r="BF110" s="92">
        <v>19</v>
      </c>
      <c r="BG110" s="92">
        <v>1566709</v>
      </c>
      <c r="BH110" s="92">
        <v>2412534</v>
      </c>
      <c r="BI110" s="92">
        <v>2354262</v>
      </c>
      <c r="BJ110" s="92"/>
      <c r="BK110" s="92">
        <v>173295</v>
      </c>
      <c r="BL110" s="68">
        <f t="shared" si="36"/>
        <v>12075113.960000001</v>
      </c>
      <c r="BM110" s="68">
        <f t="shared" si="37"/>
        <v>16830560.07</v>
      </c>
    </row>
    <row r="111" spans="1:65" s="7" customFormat="1" x14ac:dyDescent="0.25">
      <c r="A111" s="3" t="s">
        <v>291</v>
      </c>
      <c r="B111" s="10">
        <v>11818</v>
      </c>
      <c r="C111" s="10">
        <v>32191</v>
      </c>
      <c r="D111" s="10">
        <v>17853</v>
      </c>
      <c r="E111" s="10">
        <v>61325</v>
      </c>
      <c r="F111" s="10">
        <v>174275</v>
      </c>
      <c r="G111" s="10">
        <v>513974</v>
      </c>
      <c r="H111" s="10">
        <v>134402</v>
      </c>
      <c r="I111" s="10">
        <v>430825</v>
      </c>
      <c r="J111" s="10">
        <v>43361</v>
      </c>
      <c r="K111" s="10">
        <v>130299</v>
      </c>
      <c r="L111" s="10">
        <v>56589</v>
      </c>
      <c r="M111" s="10">
        <v>183217</v>
      </c>
      <c r="N111" s="10">
        <v>-10156.98</v>
      </c>
      <c r="O111" s="10">
        <v>64672.88</v>
      </c>
      <c r="P111" s="131">
        <v>5508.16</v>
      </c>
      <c r="Q111" s="131">
        <v>17074.7</v>
      </c>
      <c r="R111" s="10">
        <v>49301.52</v>
      </c>
      <c r="S111" s="10">
        <v>127411.24</v>
      </c>
      <c r="T111" s="10">
        <v>68029</v>
      </c>
      <c r="U111" s="10">
        <v>182789</v>
      </c>
      <c r="V111" s="10">
        <v>142475</v>
      </c>
      <c r="W111" s="10">
        <v>442191</v>
      </c>
      <c r="X111" s="10">
        <v>230351</v>
      </c>
      <c r="Y111" s="10">
        <v>739262</v>
      </c>
      <c r="Z111" s="10">
        <v>130257</v>
      </c>
      <c r="AA111" s="10">
        <v>387149</v>
      </c>
      <c r="AB111" s="10">
        <v>8590</v>
      </c>
      <c r="AC111" s="10">
        <v>26717</v>
      </c>
      <c r="AD111" s="10">
        <v>22448</v>
      </c>
      <c r="AE111" s="10">
        <v>62088</v>
      </c>
      <c r="AF111" s="10">
        <v>15080.65</v>
      </c>
      <c r="AG111" s="10">
        <v>46061.58</v>
      </c>
      <c r="AH111" s="10">
        <v>13848.48</v>
      </c>
      <c r="AI111" s="10">
        <v>48829.71</v>
      </c>
      <c r="AJ111" s="10">
        <v>26481</v>
      </c>
      <c r="AK111" s="10">
        <v>80771</v>
      </c>
      <c r="AL111" s="10">
        <v>269720.33</v>
      </c>
      <c r="AM111" s="10">
        <v>862765.72</v>
      </c>
      <c r="AN111" s="10">
        <v>1468</v>
      </c>
      <c r="AO111" s="10">
        <v>3878</v>
      </c>
      <c r="AP111" s="10">
        <v>6087</v>
      </c>
      <c r="AQ111" s="10">
        <v>18434</v>
      </c>
      <c r="AR111" s="10">
        <v>111307</v>
      </c>
      <c r="AS111" s="10">
        <v>302619</v>
      </c>
      <c r="AT111" s="10">
        <v>46360</v>
      </c>
      <c r="AU111" s="10">
        <v>139757</v>
      </c>
      <c r="AV111" s="10">
        <v>96581</v>
      </c>
      <c r="AW111" s="10">
        <v>272348</v>
      </c>
      <c r="AX111" s="10">
        <v>30049</v>
      </c>
      <c r="AY111" s="10">
        <v>105348</v>
      </c>
      <c r="AZ111" s="10">
        <v>264420</v>
      </c>
      <c r="BA111" s="10">
        <v>675519</v>
      </c>
      <c r="BB111" s="10">
        <v>130012</v>
      </c>
      <c r="BC111" s="10">
        <v>367915</v>
      </c>
      <c r="BD111" s="10">
        <v>808178</v>
      </c>
      <c r="BE111" s="10">
        <v>2153391</v>
      </c>
      <c r="BF111" s="10">
        <v>307971</v>
      </c>
      <c r="BG111" s="10">
        <v>961344</v>
      </c>
      <c r="BH111" s="10">
        <v>309985</v>
      </c>
      <c r="BI111" s="10">
        <v>940462</v>
      </c>
      <c r="BJ111" s="10">
        <v>37006</v>
      </c>
      <c r="BK111" s="10">
        <v>70509</v>
      </c>
      <c r="BL111" s="63">
        <f t="shared" si="36"/>
        <v>3559655.16</v>
      </c>
      <c r="BM111" s="63">
        <f t="shared" si="37"/>
        <v>10451137.83</v>
      </c>
    </row>
  </sheetData>
  <mergeCells count="320"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activeCell="AG115" activeCellId="1" sqref="AM105:AM111 AG115"/>
      <selection pane="topRight" activeCell="AG115" activeCellId="1" sqref="AM105:AM111 AG115"/>
      <selection pane="bottomLeft" activeCell="AG115" activeCellId="1" sqref="AM105:AM111 AG115"/>
      <selection pane="bottomRight" activeCell="B1" sqref="B1"/>
    </sheetView>
  </sheetViews>
  <sheetFormatPr defaultRowHeight="15" x14ac:dyDescent="0.25"/>
  <cols>
    <col min="1" max="1" width="41" style="6" bestFit="1" customWidth="1"/>
    <col min="2" max="31" width="16" style="6" customWidth="1"/>
    <col min="32" max="32" width="16" style="7" customWidth="1"/>
    <col min="33" max="65" width="16" style="6" customWidth="1"/>
    <col min="66" max="16384" width="9.140625" style="6"/>
  </cols>
  <sheetData>
    <row r="1" spans="1:65" ht="18.75" x14ac:dyDescent="0.3">
      <c r="A1" s="8" t="s">
        <v>181</v>
      </c>
    </row>
    <row r="2" spans="1:65" x14ac:dyDescent="0.25">
      <c r="A2" s="22" t="s">
        <v>98</v>
      </c>
    </row>
    <row r="3" spans="1:65" x14ac:dyDescent="0.25">
      <c r="A3" s="23" t="s">
        <v>182</v>
      </c>
    </row>
    <row r="4" spans="1:65" x14ac:dyDescent="0.25">
      <c r="A4" s="3" t="s">
        <v>0</v>
      </c>
      <c r="B4" s="153" t="s">
        <v>1</v>
      </c>
      <c r="C4" s="154"/>
      <c r="D4" s="153" t="s">
        <v>234</v>
      </c>
      <c r="E4" s="154"/>
      <c r="F4" s="153" t="s">
        <v>2</v>
      </c>
      <c r="G4" s="154"/>
      <c r="H4" s="153" t="s">
        <v>3</v>
      </c>
      <c r="I4" s="154"/>
      <c r="J4" s="153" t="s">
        <v>243</v>
      </c>
      <c r="K4" s="154"/>
      <c r="L4" s="153" t="s">
        <v>235</v>
      </c>
      <c r="M4" s="154"/>
      <c r="N4" s="153" t="s">
        <v>5</v>
      </c>
      <c r="O4" s="154"/>
      <c r="P4" s="153" t="s">
        <v>4</v>
      </c>
      <c r="Q4" s="154"/>
      <c r="R4" s="153" t="s">
        <v>6</v>
      </c>
      <c r="S4" s="154"/>
      <c r="T4" s="153" t="s">
        <v>246</v>
      </c>
      <c r="U4" s="154"/>
      <c r="V4" s="153" t="s">
        <v>7</v>
      </c>
      <c r="W4" s="154"/>
      <c r="X4" s="153" t="s">
        <v>8</v>
      </c>
      <c r="Y4" s="154"/>
      <c r="Z4" s="153" t="s">
        <v>9</v>
      </c>
      <c r="AA4" s="154"/>
      <c r="AB4" s="153" t="s">
        <v>242</v>
      </c>
      <c r="AC4" s="154"/>
      <c r="AD4" s="153" t="s">
        <v>10</v>
      </c>
      <c r="AE4" s="154"/>
      <c r="AF4" s="153" t="s">
        <v>11</v>
      </c>
      <c r="AG4" s="154"/>
      <c r="AH4" s="153" t="s">
        <v>236</v>
      </c>
      <c r="AI4" s="154"/>
      <c r="AJ4" s="153" t="s">
        <v>245</v>
      </c>
      <c r="AK4" s="154"/>
      <c r="AL4" s="153" t="s">
        <v>12</v>
      </c>
      <c r="AM4" s="154"/>
      <c r="AN4" s="153" t="s">
        <v>237</v>
      </c>
      <c r="AO4" s="154"/>
      <c r="AP4" s="153" t="s">
        <v>238</v>
      </c>
      <c r="AQ4" s="154"/>
      <c r="AR4" s="153" t="s">
        <v>241</v>
      </c>
      <c r="AS4" s="154"/>
      <c r="AT4" s="153" t="s">
        <v>13</v>
      </c>
      <c r="AU4" s="154"/>
      <c r="AV4" s="153" t="s">
        <v>14</v>
      </c>
      <c r="AW4" s="154"/>
      <c r="AX4" s="153" t="s">
        <v>15</v>
      </c>
      <c r="AY4" s="154"/>
      <c r="AZ4" s="153" t="s">
        <v>16</v>
      </c>
      <c r="BA4" s="154"/>
      <c r="BB4" s="153" t="s">
        <v>17</v>
      </c>
      <c r="BC4" s="154"/>
      <c r="BD4" s="153" t="s">
        <v>239</v>
      </c>
      <c r="BE4" s="154"/>
      <c r="BF4" s="153" t="s">
        <v>240</v>
      </c>
      <c r="BG4" s="154"/>
      <c r="BH4" s="153" t="s">
        <v>18</v>
      </c>
      <c r="BI4" s="154"/>
      <c r="BJ4" s="153" t="s">
        <v>19</v>
      </c>
      <c r="BK4" s="154"/>
      <c r="BL4" s="155" t="s">
        <v>20</v>
      </c>
      <c r="BM4" s="156"/>
    </row>
    <row r="5" spans="1:65" ht="30" x14ac:dyDescent="0.25">
      <c r="A5" s="3"/>
      <c r="B5" s="53" t="s">
        <v>303</v>
      </c>
      <c r="C5" s="54" t="s">
        <v>302</v>
      </c>
      <c r="D5" s="53" t="s">
        <v>303</v>
      </c>
      <c r="E5" s="54" t="s">
        <v>302</v>
      </c>
      <c r="F5" s="53" t="s">
        <v>303</v>
      </c>
      <c r="G5" s="54" t="s">
        <v>302</v>
      </c>
      <c r="H5" s="53" t="s">
        <v>303</v>
      </c>
      <c r="I5" s="54" t="s">
        <v>302</v>
      </c>
      <c r="J5" s="53" t="s">
        <v>303</v>
      </c>
      <c r="K5" s="54" t="s">
        <v>302</v>
      </c>
      <c r="L5" s="53" t="s">
        <v>303</v>
      </c>
      <c r="M5" s="54" t="s">
        <v>302</v>
      </c>
      <c r="N5" s="53" t="s">
        <v>303</v>
      </c>
      <c r="O5" s="54" t="s">
        <v>302</v>
      </c>
      <c r="P5" s="53" t="s">
        <v>303</v>
      </c>
      <c r="Q5" s="54" t="s">
        <v>302</v>
      </c>
      <c r="R5" s="53" t="s">
        <v>303</v>
      </c>
      <c r="S5" s="54" t="s">
        <v>302</v>
      </c>
      <c r="T5" s="53" t="s">
        <v>303</v>
      </c>
      <c r="U5" s="54" t="s">
        <v>302</v>
      </c>
      <c r="V5" s="53" t="s">
        <v>303</v>
      </c>
      <c r="W5" s="54" t="s">
        <v>302</v>
      </c>
      <c r="X5" s="53" t="s">
        <v>303</v>
      </c>
      <c r="Y5" s="54" t="s">
        <v>302</v>
      </c>
      <c r="Z5" s="53" t="s">
        <v>303</v>
      </c>
      <c r="AA5" s="54" t="s">
        <v>302</v>
      </c>
      <c r="AB5" s="53" t="s">
        <v>303</v>
      </c>
      <c r="AC5" s="54" t="s">
        <v>302</v>
      </c>
      <c r="AD5" s="53" t="s">
        <v>303</v>
      </c>
      <c r="AE5" s="54" t="s">
        <v>302</v>
      </c>
      <c r="AF5" s="53" t="s">
        <v>303</v>
      </c>
      <c r="AG5" s="54" t="s">
        <v>302</v>
      </c>
      <c r="AH5" s="53" t="s">
        <v>303</v>
      </c>
      <c r="AI5" s="54" t="s">
        <v>302</v>
      </c>
      <c r="AJ5" s="53" t="s">
        <v>303</v>
      </c>
      <c r="AK5" s="54" t="s">
        <v>302</v>
      </c>
      <c r="AL5" s="53" t="s">
        <v>303</v>
      </c>
      <c r="AM5" s="54" t="s">
        <v>302</v>
      </c>
      <c r="AN5" s="53" t="s">
        <v>303</v>
      </c>
      <c r="AO5" s="54" t="s">
        <v>302</v>
      </c>
      <c r="AP5" s="53" t="s">
        <v>303</v>
      </c>
      <c r="AQ5" s="54" t="s">
        <v>302</v>
      </c>
      <c r="AR5" s="53" t="s">
        <v>303</v>
      </c>
      <c r="AS5" s="54" t="s">
        <v>302</v>
      </c>
      <c r="AT5" s="53" t="s">
        <v>303</v>
      </c>
      <c r="AU5" s="54" t="s">
        <v>302</v>
      </c>
      <c r="AV5" s="53" t="s">
        <v>303</v>
      </c>
      <c r="AW5" s="54" t="s">
        <v>302</v>
      </c>
      <c r="AX5" s="53" t="s">
        <v>303</v>
      </c>
      <c r="AY5" s="54" t="s">
        <v>302</v>
      </c>
      <c r="AZ5" s="53" t="s">
        <v>303</v>
      </c>
      <c r="BA5" s="54" t="s">
        <v>302</v>
      </c>
      <c r="BB5" s="53" t="s">
        <v>303</v>
      </c>
      <c r="BC5" s="54" t="s">
        <v>302</v>
      </c>
      <c r="BD5" s="53" t="s">
        <v>303</v>
      </c>
      <c r="BE5" s="54" t="s">
        <v>302</v>
      </c>
      <c r="BF5" s="53" t="s">
        <v>303</v>
      </c>
      <c r="BG5" s="54" t="s">
        <v>302</v>
      </c>
      <c r="BH5" s="53" t="s">
        <v>303</v>
      </c>
      <c r="BI5" s="54" t="s">
        <v>302</v>
      </c>
      <c r="BJ5" s="53" t="s">
        <v>303</v>
      </c>
      <c r="BK5" s="54" t="s">
        <v>302</v>
      </c>
      <c r="BL5" s="105" t="s">
        <v>303</v>
      </c>
      <c r="BM5" s="106" t="s">
        <v>302</v>
      </c>
    </row>
    <row r="6" spans="1:65" x14ac:dyDescent="0.25">
      <c r="A6" s="24" t="s">
        <v>292</v>
      </c>
      <c r="B6" s="9"/>
      <c r="C6" s="9"/>
      <c r="D6" s="9"/>
      <c r="E6" s="9"/>
      <c r="F6" s="9"/>
      <c r="G6" s="9"/>
      <c r="H6" s="92">
        <v>3146</v>
      </c>
      <c r="I6" s="92">
        <v>9554</v>
      </c>
      <c r="J6" s="76"/>
      <c r="K6" s="76"/>
      <c r="L6" s="92">
        <v>3261</v>
      </c>
      <c r="M6" s="92">
        <v>7262</v>
      </c>
      <c r="N6" s="76"/>
      <c r="O6" s="76"/>
      <c r="P6" s="92">
        <v>70</v>
      </c>
      <c r="Q6" s="92">
        <v>156.54</v>
      </c>
      <c r="R6" s="92">
        <v>0.01</v>
      </c>
      <c r="S6" s="92">
        <v>2816.39</v>
      </c>
      <c r="T6" s="92">
        <v>762</v>
      </c>
      <c r="U6" s="92">
        <v>1843</v>
      </c>
      <c r="V6" s="92">
        <v>2420</v>
      </c>
      <c r="W6" s="92">
        <v>8033</v>
      </c>
      <c r="X6" s="92">
        <v>3080</v>
      </c>
      <c r="Y6" s="92">
        <v>12249</v>
      </c>
      <c r="Z6" s="92">
        <v>1638</v>
      </c>
      <c r="AA6" s="92">
        <v>5666</v>
      </c>
      <c r="AB6" s="92">
        <v>96.15</v>
      </c>
      <c r="AC6" s="92">
        <v>256.70999999999998</v>
      </c>
      <c r="AD6" s="92">
        <v>100</v>
      </c>
      <c r="AE6" s="92">
        <v>659</v>
      </c>
      <c r="AF6" s="69">
        <v>370.69</v>
      </c>
      <c r="AG6" s="92">
        <v>822.89</v>
      </c>
      <c r="AH6" s="9"/>
      <c r="AI6" s="9"/>
      <c r="AJ6" s="9"/>
      <c r="AK6" s="9"/>
      <c r="AL6" s="76"/>
      <c r="AM6" s="76"/>
      <c r="AN6" s="92">
        <v>45</v>
      </c>
      <c r="AO6" s="92">
        <v>130</v>
      </c>
      <c r="AP6" s="92">
        <v>35</v>
      </c>
      <c r="AQ6" s="92">
        <v>123</v>
      </c>
      <c r="AR6" s="9">
        <v>1317</v>
      </c>
      <c r="AS6" s="9">
        <v>5654</v>
      </c>
      <c r="AT6" s="92">
        <v>635</v>
      </c>
      <c r="AU6" s="92">
        <v>2121</v>
      </c>
      <c r="AV6" s="92">
        <v>3113</v>
      </c>
      <c r="AW6" s="92">
        <v>8554</v>
      </c>
      <c r="AX6" s="92">
        <v>118</v>
      </c>
      <c r="AY6" s="92">
        <v>325</v>
      </c>
      <c r="AZ6" s="9"/>
      <c r="BA6" s="9"/>
      <c r="BB6" s="92">
        <v>2907</v>
      </c>
      <c r="BC6" s="92">
        <v>10103</v>
      </c>
      <c r="BD6" s="76"/>
      <c r="BE6" s="76"/>
      <c r="BF6" s="92">
        <v>3741</v>
      </c>
      <c r="BG6" s="92">
        <v>12115</v>
      </c>
      <c r="BH6" s="9"/>
      <c r="BI6" s="9"/>
      <c r="BJ6" s="92">
        <v>395</v>
      </c>
      <c r="BK6" s="92">
        <v>1285</v>
      </c>
      <c r="BL6" s="68">
        <f>SUM(B6+D6+F6+H6+J6+L6+N6+P6+R6+T6+V6+X6+Z6+AB6+AD6+AF6+AH6+AJ6+AL6+AN6+AP6+AR6+AT6+AV6+AX6+AZ6+BB6+BD6+BF6+BH6+BJ6)</f>
        <v>27249.85</v>
      </c>
      <c r="BM6" s="68">
        <f>SUM(C6+E6+G6+I6+K6+M6+O6+Q6+S6+U6+W6+Y6+AA6+AC6+AE6+AG6+AI6+AK6+AM6+AO6+AQ6+AS6+AU6+AW6+AY6+BA6+BC6+BE6+BG6+BI6+BK6)</f>
        <v>89728.53</v>
      </c>
    </row>
    <row r="7" spans="1:65" s="71" customFormat="1" x14ac:dyDescent="0.25">
      <c r="A7" s="24" t="s">
        <v>293</v>
      </c>
      <c r="B7" s="92"/>
      <c r="C7" s="92"/>
      <c r="D7" s="92"/>
      <c r="E7" s="92"/>
      <c r="F7" s="92"/>
      <c r="G7" s="92"/>
      <c r="H7" s="92">
        <v>415</v>
      </c>
      <c r="I7" s="92">
        <v>1365</v>
      </c>
      <c r="J7" s="92"/>
      <c r="K7" s="92"/>
      <c r="L7" s="92">
        <v>20</v>
      </c>
      <c r="M7" s="92">
        <v>140</v>
      </c>
      <c r="N7" s="92"/>
      <c r="O7" s="92"/>
      <c r="P7" s="92">
        <v>6.35</v>
      </c>
      <c r="Q7" s="92">
        <v>14.22</v>
      </c>
      <c r="R7" s="92"/>
      <c r="S7" s="92"/>
      <c r="T7" s="92">
        <v>230</v>
      </c>
      <c r="U7" s="92">
        <v>502</v>
      </c>
      <c r="V7" s="92">
        <v>487</v>
      </c>
      <c r="W7" s="92">
        <v>1865</v>
      </c>
      <c r="X7" s="92">
        <v>921</v>
      </c>
      <c r="Y7" s="92">
        <v>3250</v>
      </c>
      <c r="Z7" s="92">
        <v>352</v>
      </c>
      <c r="AA7" s="92">
        <v>1295</v>
      </c>
      <c r="AB7" s="92">
        <v>13.44</v>
      </c>
      <c r="AC7" s="92">
        <v>29.17</v>
      </c>
      <c r="AD7" s="92">
        <v>26</v>
      </c>
      <c r="AE7" s="92">
        <v>71</v>
      </c>
      <c r="AF7" s="69">
        <v>77.400000000000006</v>
      </c>
      <c r="AG7" s="92">
        <v>217.69</v>
      </c>
      <c r="AH7" s="92"/>
      <c r="AI7" s="92"/>
      <c r="AJ7" s="92"/>
      <c r="AK7" s="92"/>
      <c r="AL7" s="92"/>
      <c r="AM7" s="92"/>
      <c r="AN7" s="92"/>
      <c r="AO7" s="92"/>
      <c r="AP7" s="92">
        <v>5</v>
      </c>
      <c r="AQ7" s="92">
        <v>22</v>
      </c>
      <c r="AR7" s="92">
        <v>197</v>
      </c>
      <c r="AS7" s="92">
        <v>1250</v>
      </c>
      <c r="AT7" s="92">
        <v>151</v>
      </c>
      <c r="AU7" s="92">
        <v>637</v>
      </c>
      <c r="AV7" s="92">
        <v>287</v>
      </c>
      <c r="AW7" s="92">
        <v>1176</v>
      </c>
      <c r="AX7" s="92">
        <v>20</v>
      </c>
      <c r="AY7" s="92">
        <v>46</v>
      </c>
      <c r="AZ7" s="92"/>
      <c r="BA7" s="92"/>
      <c r="BB7" s="92">
        <v>448</v>
      </c>
      <c r="BC7" s="92">
        <v>1853</v>
      </c>
      <c r="BD7" s="92"/>
      <c r="BE7" s="92"/>
      <c r="BF7" s="92">
        <v>0</v>
      </c>
      <c r="BG7" s="92">
        <v>0</v>
      </c>
      <c r="BH7" s="92"/>
      <c r="BI7" s="92"/>
      <c r="BJ7" s="92">
        <v>34</v>
      </c>
      <c r="BK7" s="92">
        <v>302</v>
      </c>
      <c r="BL7" s="68">
        <f t="shared" ref="BL7:BL12" si="0">SUM(B7+D7+F7+H7+J7+L7+N7+P7+R7+T7+V7+X7+Z7+AB7+AD7+AF7+AH7+AJ7+AL7+AN7+AP7+AR7+AT7+AV7+AX7+AZ7+BB7+BD7+BF7+BH7+BJ7)</f>
        <v>3690.19</v>
      </c>
      <c r="BM7" s="68">
        <f t="shared" ref="BM7:BM12" si="1">SUM(C7+E7+G7+I7+K7+M7+O7+Q7+S7+U7+W7+Y7+AA7+AC7+AE7+AG7+AI7+AK7+AM7+AO7+AQ7+AS7+AU7+AW7+AY7+BA7+BC7+BE7+BG7+BI7+BK7)</f>
        <v>14035.080000000002</v>
      </c>
    </row>
    <row r="8" spans="1:65" s="71" customFormat="1" x14ac:dyDescent="0.25">
      <c r="A8" s="24" t="s">
        <v>294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>
        <v>83.47</v>
      </c>
      <c r="S8" s="92">
        <v>310.18</v>
      </c>
      <c r="T8" s="92"/>
      <c r="U8" s="92"/>
      <c r="V8" s="92"/>
      <c r="W8" s="92"/>
      <c r="X8" s="92">
        <v>0</v>
      </c>
      <c r="Y8" s="92">
        <v>0</v>
      </c>
      <c r="Z8" s="92"/>
      <c r="AA8" s="92"/>
      <c r="AB8" s="92"/>
      <c r="AC8" s="92"/>
      <c r="AD8" s="92"/>
      <c r="AE8" s="92"/>
      <c r="AF8" s="69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>
        <v>0</v>
      </c>
      <c r="BC8" s="92">
        <v>0</v>
      </c>
      <c r="BD8" s="92"/>
      <c r="BE8" s="92"/>
      <c r="BF8" s="92">
        <v>0</v>
      </c>
      <c r="BG8" s="92">
        <v>0</v>
      </c>
      <c r="BH8" s="92"/>
      <c r="BI8" s="92"/>
      <c r="BJ8" s="92"/>
      <c r="BK8" s="92"/>
      <c r="BL8" s="68">
        <f t="shared" si="0"/>
        <v>83.47</v>
      </c>
      <c r="BM8" s="68">
        <f t="shared" si="1"/>
        <v>310.18</v>
      </c>
    </row>
    <row r="9" spans="1:65" s="7" customFormat="1" x14ac:dyDescent="0.25">
      <c r="A9" s="10" t="s">
        <v>295</v>
      </c>
      <c r="B9" s="10"/>
      <c r="C9" s="10"/>
      <c r="D9" s="10"/>
      <c r="E9" s="10"/>
      <c r="F9" s="10"/>
      <c r="G9" s="10"/>
      <c r="H9" s="10">
        <v>3562</v>
      </c>
      <c r="I9" s="10">
        <v>10919</v>
      </c>
      <c r="J9" s="10"/>
      <c r="K9" s="10"/>
      <c r="L9" s="10">
        <v>3280</v>
      </c>
      <c r="M9" s="10">
        <v>7402</v>
      </c>
      <c r="N9" s="10"/>
      <c r="O9" s="10"/>
      <c r="P9" s="10">
        <v>76.349999999999994</v>
      </c>
      <c r="Q9" s="10">
        <v>170.76</v>
      </c>
      <c r="R9" s="10">
        <v>946.18</v>
      </c>
      <c r="S9" s="10">
        <v>3126.58</v>
      </c>
      <c r="T9" s="10">
        <v>992</v>
      </c>
      <c r="U9" s="10">
        <v>2345</v>
      </c>
      <c r="V9" s="10">
        <v>2907</v>
      </c>
      <c r="W9" s="10">
        <v>9899</v>
      </c>
      <c r="X9" s="10">
        <v>4001</v>
      </c>
      <c r="Y9" s="10">
        <v>15499</v>
      </c>
      <c r="Z9" s="10">
        <v>1990</v>
      </c>
      <c r="AA9" s="10">
        <v>6961</v>
      </c>
      <c r="AB9" s="10">
        <v>109.59</v>
      </c>
      <c r="AC9" s="10">
        <v>285.88</v>
      </c>
      <c r="AD9" s="10">
        <v>126</v>
      </c>
      <c r="AE9" s="10">
        <v>730</v>
      </c>
      <c r="AF9" s="10">
        <v>448.09</v>
      </c>
      <c r="AG9" s="10">
        <v>1040.58</v>
      </c>
      <c r="AH9" s="10"/>
      <c r="AI9" s="10"/>
      <c r="AJ9" s="10"/>
      <c r="AK9" s="10"/>
      <c r="AL9" s="10">
        <v>1189.97</v>
      </c>
      <c r="AM9" s="10">
        <v>2003.06</v>
      </c>
      <c r="AN9" s="10">
        <v>45</v>
      </c>
      <c r="AO9" s="10">
        <v>130</v>
      </c>
      <c r="AP9" s="10">
        <v>40</v>
      </c>
      <c r="AQ9" s="10">
        <v>144</v>
      </c>
      <c r="AR9" s="10">
        <v>1514</v>
      </c>
      <c r="AS9" s="10">
        <v>6904</v>
      </c>
      <c r="AT9" s="10">
        <v>785</v>
      </c>
      <c r="AU9" s="10">
        <v>2758</v>
      </c>
      <c r="AV9" s="10">
        <v>3400</v>
      </c>
      <c r="AW9" s="10">
        <v>9730</v>
      </c>
      <c r="AX9" s="10">
        <v>138</v>
      </c>
      <c r="AY9" s="10">
        <v>371</v>
      </c>
      <c r="AZ9" s="10"/>
      <c r="BA9" s="10"/>
      <c r="BB9" s="10">
        <v>3355</v>
      </c>
      <c r="BC9" s="10">
        <v>11956</v>
      </c>
      <c r="BD9" s="10">
        <v>13514</v>
      </c>
      <c r="BE9" s="10">
        <v>41408</v>
      </c>
      <c r="BF9" s="10">
        <v>3741</v>
      </c>
      <c r="BG9" s="10">
        <v>12115</v>
      </c>
      <c r="BH9" s="10">
        <v>4376</v>
      </c>
      <c r="BI9" s="10">
        <v>13081</v>
      </c>
      <c r="BJ9" s="10">
        <v>430</v>
      </c>
      <c r="BK9" s="10">
        <v>1586</v>
      </c>
      <c r="BL9" s="63">
        <f t="shared" si="0"/>
        <v>50966.18</v>
      </c>
      <c r="BM9" s="63">
        <f t="shared" si="1"/>
        <v>160564.85999999999</v>
      </c>
    </row>
    <row r="10" spans="1:65" x14ac:dyDescent="0.25">
      <c r="A10" s="24" t="s">
        <v>296</v>
      </c>
      <c r="B10" s="9"/>
      <c r="C10" s="9"/>
      <c r="D10" s="9"/>
      <c r="E10" s="9"/>
      <c r="F10" s="9"/>
      <c r="G10" s="9"/>
      <c r="H10" s="92">
        <v>264</v>
      </c>
      <c r="I10" s="92">
        <v>707</v>
      </c>
      <c r="J10" s="76"/>
      <c r="K10" s="76"/>
      <c r="L10" s="92">
        <v>20</v>
      </c>
      <c r="M10" s="92">
        <v>43</v>
      </c>
      <c r="N10" s="76"/>
      <c r="O10" s="76"/>
      <c r="P10" s="92">
        <v>40.090000000000003</v>
      </c>
      <c r="Q10" s="92">
        <v>83.19</v>
      </c>
      <c r="R10" s="92">
        <v>64.22</v>
      </c>
      <c r="S10" s="92">
        <v>455.61</v>
      </c>
      <c r="T10" s="92">
        <v>527</v>
      </c>
      <c r="U10" s="92">
        <v>3071</v>
      </c>
      <c r="V10" s="92">
        <v>196</v>
      </c>
      <c r="W10" s="92">
        <v>1342</v>
      </c>
      <c r="X10" s="92">
        <v>537</v>
      </c>
      <c r="Y10" s="92">
        <v>1315</v>
      </c>
      <c r="Z10" s="92">
        <v>251</v>
      </c>
      <c r="AA10" s="92">
        <v>632</v>
      </c>
      <c r="AB10" s="92">
        <v>19.25</v>
      </c>
      <c r="AC10" s="92">
        <v>54.05</v>
      </c>
      <c r="AD10" s="92">
        <v>16</v>
      </c>
      <c r="AE10" s="92">
        <v>50</v>
      </c>
      <c r="AF10" s="69">
        <v>88.76</v>
      </c>
      <c r="AG10" s="92">
        <v>377.13</v>
      </c>
      <c r="AH10" s="9"/>
      <c r="AI10" s="9"/>
      <c r="AJ10" s="9"/>
      <c r="AK10" s="9"/>
      <c r="AL10" s="92">
        <v>750.68</v>
      </c>
      <c r="AM10" s="92">
        <v>1755.22</v>
      </c>
      <c r="AN10" s="92">
        <v>5</v>
      </c>
      <c r="AO10" s="92">
        <v>10</v>
      </c>
      <c r="AP10" s="92">
        <v>23</v>
      </c>
      <c r="AQ10" s="92">
        <v>80</v>
      </c>
      <c r="AR10" s="9">
        <v>225</v>
      </c>
      <c r="AS10" s="9">
        <v>414</v>
      </c>
      <c r="AT10" s="92">
        <v>131</v>
      </c>
      <c r="AU10" s="92">
        <v>718</v>
      </c>
      <c r="AV10" s="92">
        <v>39</v>
      </c>
      <c r="AW10" s="92">
        <v>85</v>
      </c>
      <c r="AX10" s="92">
        <v>48</v>
      </c>
      <c r="AY10" s="92">
        <v>102</v>
      </c>
      <c r="AZ10" s="9"/>
      <c r="BA10" s="9"/>
      <c r="BB10" s="92">
        <v>148</v>
      </c>
      <c r="BC10" s="92">
        <v>885</v>
      </c>
      <c r="BD10" s="92">
        <v>6194</v>
      </c>
      <c r="BE10" s="92">
        <v>14216</v>
      </c>
      <c r="BF10" s="92">
        <v>897</v>
      </c>
      <c r="BG10" s="92">
        <v>2014</v>
      </c>
      <c r="BH10" s="92">
        <v>919</v>
      </c>
      <c r="BI10" s="92">
        <v>2048</v>
      </c>
      <c r="BJ10" s="92">
        <v>23</v>
      </c>
      <c r="BK10" s="92">
        <v>50</v>
      </c>
      <c r="BL10" s="68">
        <f t="shared" si="0"/>
        <v>11426</v>
      </c>
      <c r="BM10" s="68">
        <f t="shared" si="1"/>
        <v>30507.200000000001</v>
      </c>
    </row>
    <row r="11" spans="1:65" x14ac:dyDescent="0.25">
      <c r="A11" s="24" t="s">
        <v>297</v>
      </c>
      <c r="B11" s="76"/>
      <c r="C11" s="76"/>
      <c r="D11" s="9"/>
      <c r="E11" s="9"/>
      <c r="F11" s="9"/>
      <c r="G11" s="9"/>
      <c r="H11" s="92">
        <v>-8637</v>
      </c>
      <c r="I11" s="92">
        <v>-32706</v>
      </c>
      <c r="J11" s="76"/>
      <c r="K11" s="76"/>
      <c r="L11" s="92">
        <v>6460</v>
      </c>
      <c r="M11" s="92">
        <v>9736</v>
      </c>
      <c r="N11" s="76"/>
      <c r="O11" s="76"/>
      <c r="P11" s="92">
        <v>114.05</v>
      </c>
      <c r="Q11" s="92">
        <v>261.08</v>
      </c>
      <c r="R11" s="92">
        <v>1004.5</v>
      </c>
      <c r="S11" s="92">
        <v>5755.86</v>
      </c>
      <c r="T11" s="92">
        <v>-2013</v>
      </c>
      <c r="U11" s="92">
        <v>-7502</v>
      </c>
      <c r="V11" s="92">
        <v>-5380</v>
      </c>
      <c r="W11" s="92">
        <v>-19759</v>
      </c>
      <c r="X11" s="92">
        <v>7876</v>
      </c>
      <c r="Y11" s="92">
        <v>28275</v>
      </c>
      <c r="Z11" s="92">
        <v>4039</v>
      </c>
      <c r="AA11" s="92">
        <v>12681</v>
      </c>
      <c r="AB11" s="92">
        <v>177.23</v>
      </c>
      <c r="AC11" s="92">
        <v>481.13</v>
      </c>
      <c r="AD11" s="92">
        <v>130</v>
      </c>
      <c r="AE11" s="92">
        <v>861</v>
      </c>
      <c r="AF11" s="69">
        <v>-651.17999999999995</v>
      </c>
      <c r="AG11" s="92">
        <v>-1539.92</v>
      </c>
      <c r="AH11" s="9"/>
      <c r="AI11" s="9"/>
      <c r="AJ11" s="9"/>
      <c r="AK11" s="9"/>
      <c r="AL11" s="92">
        <v>2793.76</v>
      </c>
      <c r="AM11" s="92">
        <v>7527.08</v>
      </c>
      <c r="AN11" s="92">
        <v>-4</v>
      </c>
      <c r="AO11" s="92">
        <v>-6</v>
      </c>
      <c r="AP11" s="92">
        <v>54</v>
      </c>
      <c r="AQ11" s="92">
        <v>240</v>
      </c>
      <c r="AR11" s="9">
        <v>2419</v>
      </c>
      <c r="AS11" s="9">
        <v>9229</v>
      </c>
      <c r="AT11" s="92">
        <v>809</v>
      </c>
      <c r="AU11" s="92">
        <v>4094</v>
      </c>
      <c r="AV11" s="92">
        <v>5453</v>
      </c>
      <c r="AW11" s="92">
        <v>24533</v>
      </c>
      <c r="AX11" s="92">
        <v>60</v>
      </c>
      <c r="AY11" s="92">
        <v>168</v>
      </c>
      <c r="AZ11" s="9"/>
      <c r="BA11" s="9"/>
      <c r="BB11" s="92">
        <v>5229</v>
      </c>
      <c r="BC11" s="92">
        <v>20771</v>
      </c>
      <c r="BD11" s="92">
        <v>5479</v>
      </c>
      <c r="BE11" s="92">
        <v>19943</v>
      </c>
      <c r="BF11" s="92">
        <v>1694</v>
      </c>
      <c r="BG11" s="92">
        <v>6733</v>
      </c>
      <c r="BH11" s="92">
        <v>791</v>
      </c>
      <c r="BI11" s="92">
        <v>4303</v>
      </c>
      <c r="BJ11" s="92">
        <v>160</v>
      </c>
      <c r="BK11" s="92">
        <v>1120</v>
      </c>
      <c r="BL11" s="68">
        <f t="shared" si="0"/>
        <v>28057.360000000001</v>
      </c>
      <c r="BM11" s="68">
        <f t="shared" si="1"/>
        <v>95199.23000000001</v>
      </c>
    </row>
    <row r="12" spans="1:65" s="7" customFormat="1" x14ac:dyDescent="0.25">
      <c r="A12" s="10" t="s">
        <v>190</v>
      </c>
      <c r="B12" s="10"/>
      <c r="C12" s="10"/>
      <c r="D12" s="10"/>
      <c r="E12" s="10"/>
      <c r="F12" s="10"/>
      <c r="G12" s="10"/>
      <c r="H12" s="10">
        <v>-4811</v>
      </c>
      <c r="I12" s="10">
        <v>-21080</v>
      </c>
      <c r="J12" s="10"/>
      <c r="K12" s="10"/>
      <c r="L12" s="10">
        <v>-3160</v>
      </c>
      <c r="M12" s="10">
        <v>-2291</v>
      </c>
      <c r="N12" s="10"/>
      <c r="O12" s="10"/>
      <c r="P12" s="10">
        <v>2.39</v>
      </c>
      <c r="Q12" s="10">
        <v>-7.13</v>
      </c>
      <c r="R12" s="10">
        <v>5.9</v>
      </c>
      <c r="S12" s="10">
        <v>-2173.6799999999998</v>
      </c>
      <c r="T12" s="10">
        <v>-494</v>
      </c>
      <c r="U12" s="10">
        <v>-2086</v>
      </c>
      <c r="V12" s="10">
        <v>-2277</v>
      </c>
      <c r="W12" s="10">
        <v>-8518</v>
      </c>
      <c r="X12" s="10">
        <v>-3338</v>
      </c>
      <c r="Y12" s="10">
        <v>-11461</v>
      </c>
      <c r="Z12" s="10">
        <v>-1799</v>
      </c>
      <c r="AA12" s="10">
        <v>-5088</v>
      </c>
      <c r="AB12" s="10">
        <v>-48.39</v>
      </c>
      <c r="AC12" s="10">
        <v>-141.19999999999999</v>
      </c>
      <c r="AD12" s="10">
        <v>12</v>
      </c>
      <c r="AE12" s="10">
        <v>-81</v>
      </c>
      <c r="AF12" s="10">
        <v>-114.33</v>
      </c>
      <c r="AG12" s="10">
        <v>-122.21</v>
      </c>
      <c r="AH12" s="10"/>
      <c r="AI12" s="10"/>
      <c r="AJ12" s="10"/>
      <c r="AK12" s="10"/>
      <c r="AL12" s="10">
        <v>2354.4699999999998</v>
      </c>
      <c r="AM12" s="10">
        <v>7279.24</v>
      </c>
      <c r="AN12" s="10">
        <v>46</v>
      </c>
      <c r="AO12" s="10">
        <v>134</v>
      </c>
      <c r="AP12" s="10">
        <v>9</v>
      </c>
      <c r="AQ12" s="10">
        <v>-15</v>
      </c>
      <c r="AR12" s="10">
        <v>-680</v>
      </c>
      <c r="AS12" s="10">
        <v>-1911</v>
      </c>
      <c r="AT12" s="10">
        <v>107</v>
      </c>
      <c r="AU12" s="10">
        <v>-618</v>
      </c>
      <c r="AV12" s="10">
        <v>-2014</v>
      </c>
      <c r="AW12" s="10">
        <v>-14718</v>
      </c>
      <c r="AX12" s="10">
        <v>126</v>
      </c>
      <c r="AY12" s="10">
        <v>304</v>
      </c>
      <c r="AZ12" s="10"/>
      <c r="BA12" s="10"/>
      <c r="BB12" s="10">
        <v>-1726</v>
      </c>
      <c r="BC12" s="10">
        <v>-7930</v>
      </c>
      <c r="BD12" s="10">
        <v>14228</v>
      </c>
      <c r="BE12" s="10">
        <v>35680</v>
      </c>
      <c r="BF12" s="10">
        <v>2944</v>
      </c>
      <c r="BG12" s="10">
        <v>7396</v>
      </c>
      <c r="BH12" s="10">
        <v>4504</v>
      </c>
      <c r="BI12" s="10">
        <v>10826</v>
      </c>
      <c r="BJ12" s="10">
        <v>293</v>
      </c>
      <c r="BK12" s="10">
        <v>516</v>
      </c>
      <c r="BL12" s="63">
        <f t="shared" si="0"/>
        <v>4170.0400000000009</v>
      </c>
      <c r="BM12" s="63">
        <f t="shared" si="1"/>
        <v>-16105.979999999996</v>
      </c>
    </row>
    <row r="13" spans="1:65" x14ac:dyDescent="0.25">
      <c r="A13" s="22"/>
    </row>
    <row r="14" spans="1:65" x14ac:dyDescent="0.25">
      <c r="A14" s="23" t="s">
        <v>183</v>
      </c>
    </row>
    <row r="15" spans="1:65" x14ac:dyDescent="0.25">
      <c r="A15" s="3" t="s">
        <v>0</v>
      </c>
      <c r="B15" s="153" t="s">
        <v>1</v>
      </c>
      <c r="C15" s="154"/>
      <c r="D15" s="153" t="s">
        <v>234</v>
      </c>
      <c r="E15" s="154"/>
      <c r="F15" s="153" t="s">
        <v>2</v>
      </c>
      <c r="G15" s="154"/>
      <c r="H15" s="153" t="s">
        <v>3</v>
      </c>
      <c r="I15" s="154"/>
      <c r="J15" s="153" t="s">
        <v>243</v>
      </c>
      <c r="K15" s="154"/>
      <c r="L15" s="153" t="s">
        <v>235</v>
      </c>
      <c r="M15" s="154"/>
      <c r="N15" s="153" t="s">
        <v>5</v>
      </c>
      <c r="O15" s="154"/>
      <c r="P15" s="153" t="s">
        <v>4</v>
      </c>
      <c r="Q15" s="154"/>
      <c r="R15" s="153" t="s">
        <v>6</v>
      </c>
      <c r="S15" s="154"/>
      <c r="T15" s="153" t="s">
        <v>246</v>
      </c>
      <c r="U15" s="154"/>
      <c r="V15" s="153" t="s">
        <v>7</v>
      </c>
      <c r="W15" s="154"/>
      <c r="X15" s="153" t="s">
        <v>8</v>
      </c>
      <c r="Y15" s="154"/>
      <c r="Z15" s="153" t="s">
        <v>9</v>
      </c>
      <c r="AA15" s="154"/>
      <c r="AB15" s="153" t="s">
        <v>242</v>
      </c>
      <c r="AC15" s="154"/>
      <c r="AD15" s="153" t="s">
        <v>10</v>
      </c>
      <c r="AE15" s="154"/>
      <c r="AF15" s="153" t="s">
        <v>11</v>
      </c>
      <c r="AG15" s="154"/>
      <c r="AH15" s="153" t="s">
        <v>236</v>
      </c>
      <c r="AI15" s="154"/>
      <c r="AJ15" s="153" t="s">
        <v>245</v>
      </c>
      <c r="AK15" s="154"/>
      <c r="AL15" s="153" t="s">
        <v>12</v>
      </c>
      <c r="AM15" s="154"/>
      <c r="AN15" s="153" t="s">
        <v>237</v>
      </c>
      <c r="AO15" s="154"/>
      <c r="AP15" s="153" t="s">
        <v>238</v>
      </c>
      <c r="AQ15" s="154"/>
      <c r="AR15" s="153" t="s">
        <v>241</v>
      </c>
      <c r="AS15" s="154"/>
      <c r="AT15" s="153" t="s">
        <v>13</v>
      </c>
      <c r="AU15" s="154"/>
      <c r="AV15" s="153" t="s">
        <v>14</v>
      </c>
      <c r="AW15" s="154"/>
      <c r="AX15" s="153" t="s">
        <v>15</v>
      </c>
      <c r="AY15" s="154"/>
      <c r="AZ15" s="153" t="s">
        <v>16</v>
      </c>
      <c r="BA15" s="154"/>
      <c r="BB15" s="153" t="s">
        <v>17</v>
      </c>
      <c r="BC15" s="154"/>
      <c r="BD15" s="153" t="s">
        <v>239</v>
      </c>
      <c r="BE15" s="154"/>
      <c r="BF15" s="153" t="s">
        <v>240</v>
      </c>
      <c r="BG15" s="154"/>
      <c r="BH15" s="153" t="s">
        <v>18</v>
      </c>
      <c r="BI15" s="154"/>
      <c r="BJ15" s="153" t="s">
        <v>19</v>
      </c>
      <c r="BK15" s="154"/>
      <c r="BL15" s="155" t="s">
        <v>20</v>
      </c>
      <c r="BM15" s="156"/>
    </row>
    <row r="16" spans="1:65" ht="30" x14ac:dyDescent="0.25">
      <c r="A16" s="3"/>
      <c r="B16" s="53" t="s">
        <v>303</v>
      </c>
      <c r="C16" s="54" t="s">
        <v>302</v>
      </c>
      <c r="D16" s="53" t="s">
        <v>303</v>
      </c>
      <c r="E16" s="54" t="s">
        <v>302</v>
      </c>
      <c r="F16" s="53" t="s">
        <v>303</v>
      </c>
      <c r="G16" s="54" t="s">
        <v>302</v>
      </c>
      <c r="H16" s="53" t="s">
        <v>303</v>
      </c>
      <c r="I16" s="54" t="s">
        <v>302</v>
      </c>
      <c r="J16" s="53" t="s">
        <v>303</v>
      </c>
      <c r="K16" s="54" t="s">
        <v>302</v>
      </c>
      <c r="L16" s="53" t="s">
        <v>303</v>
      </c>
      <c r="M16" s="54" t="s">
        <v>302</v>
      </c>
      <c r="N16" s="53" t="s">
        <v>303</v>
      </c>
      <c r="O16" s="54" t="s">
        <v>302</v>
      </c>
      <c r="P16" s="53" t="s">
        <v>303</v>
      </c>
      <c r="Q16" s="54" t="s">
        <v>302</v>
      </c>
      <c r="R16" s="53" t="s">
        <v>303</v>
      </c>
      <c r="S16" s="54" t="s">
        <v>302</v>
      </c>
      <c r="T16" s="53" t="s">
        <v>303</v>
      </c>
      <c r="U16" s="54" t="s">
        <v>302</v>
      </c>
      <c r="V16" s="53" t="s">
        <v>303</v>
      </c>
      <c r="W16" s="54" t="s">
        <v>302</v>
      </c>
      <c r="X16" s="53" t="s">
        <v>303</v>
      </c>
      <c r="Y16" s="54" t="s">
        <v>302</v>
      </c>
      <c r="Z16" s="53" t="s">
        <v>303</v>
      </c>
      <c r="AA16" s="54" t="s">
        <v>302</v>
      </c>
      <c r="AB16" s="53" t="s">
        <v>303</v>
      </c>
      <c r="AC16" s="54" t="s">
        <v>302</v>
      </c>
      <c r="AD16" s="53" t="s">
        <v>303</v>
      </c>
      <c r="AE16" s="54" t="s">
        <v>302</v>
      </c>
      <c r="AF16" s="53" t="s">
        <v>303</v>
      </c>
      <c r="AG16" s="54" t="s">
        <v>302</v>
      </c>
      <c r="AH16" s="53" t="s">
        <v>303</v>
      </c>
      <c r="AI16" s="54" t="s">
        <v>302</v>
      </c>
      <c r="AJ16" s="53" t="s">
        <v>303</v>
      </c>
      <c r="AK16" s="54" t="s">
        <v>302</v>
      </c>
      <c r="AL16" s="53" t="s">
        <v>303</v>
      </c>
      <c r="AM16" s="54" t="s">
        <v>302</v>
      </c>
      <c r="AN16" s="53" t="s">
        <v>303</v>
      </c>
      <c r="AO16" s="54" t="s">
        <v>302</v>
      </c>
      <c r="AP16" s="53" t="s">
        <v>303</v>
      </c>
      <c r="AQ16" s="54" t="s">
        <v>302</v>
      </c>
      <c r="AR16" s="53" t="s">
        <v>303</v>
      </c>
      <c r="AS16" s="54" t="s">
        <v>302</v>
      </c>
      <c r="AT16" s="53" t="s">
        <v>303</v>
      </c>
      <c r="AU16" s="54" t="s">
        <v>302</v>
      </c>
      <c r="AV16" s="53" t="s">
        <v>303</v>
      </c>
      <c r="AW16" s="54" t="s">
        <v>302</v>
      </c>
      <c r="AX16" s="53" t="s">
        <v>303</v>
      </c>
      <c r="AY16" s="54" t="s">
        <v>302</v>
      </c>
      <c r="AZ16" s="53" t="s">
        <v>303</v>
      </c>
      <c r="BA16" s="54" t="s">
        <v>302</v>
      </c>
      <c r="BB16" s="53" t="s">
        <v>303</v>
      </c>
      <c r="BC16" s="54" t="s">
        <v>302</v>
      </c>
      <c r="BD16" s="53" t="s">
        <v>303</v>
      </c>
      <c r="BE16" s="54" t="s">
        <v>302</v>
      </c>
      <c r="BF16" s="53" t="s">
        <v>303</v>
      </c>
      <c r="BG16" s="54" t="s">
        <v>302</v>
      </c>
      <c r="BH16" s="53" t="s">
        <v>303</v>
      </c>
      <c r="BI16" s="54" t="s">
        <v>302</v>
      </c>
      <c r="BJ16" s="53" t="s">
        <v>303</v>
      </c>
      <c r="BK16" s="54" t="s">
        <v>302</v>
      </c>
      <c r="BL16" s="105" t="s">
        <v>303</v>
      </c>
      <c r="BM16" s="106" t="s">
        <v>302</v>
      </c>
    </row>
    <row r="17" spans="1:65" x14ac:dyDescent="0.25">
      <c r="A17" s="24" t="s">
        <v>292</v>
      </c>
      <c r="B17" s="9"/>
      <c r="C17" s="9"/>
      <c r="D17" s="9"/>
      <c r="E17" s="9"/>
      <c r="F17" s="9"/>
      <c r="G17" s="9"/>
      <c r="H17" s="92">
        <v>364</v>
      </c>
      <c r="I17" s="92">
        <v>1268</v>
      </c>
      <c r="J17" s="76"/>
      <c r="K17" s="76"/>
      <c r="L17" s="92">
        <v>214</v>
      </c>
      <c r="M17" s="92">
        <v>657</v>
      </c>
      <c r="N17" s="76"/>
      <c r="O17" s="76"/>
      <c r="P17" s="92">
        <v>16.04</v>
      </c>
      <c r="Q17" s="92">
        <v>29.25</v>
      </c>
      <c r="R17" s="92">
        <v>225.35</v>
      </c>
      <c r="S17" s="92">
        <v>818.45</v>
      </c>
      <c r="T17" s="92">
        <v>15</v>
      </c>
      <c r="U17" s="92">
        <v>31</v>
      </c>
      <c r="V17" s="92">
        <v>433</v>
      </c>
      <c r="W17" s="92">
        <v>1327</v>
      </c>
      <c r="X17" s="92">
        <v>1019</v>
      </c>
      <c r="Y17" s="92">
        <v>1019</v>
      </c>
      <c r="Z17" s="92">
        <v>449</v>
      </c>
      <c r="AA17" s="92">
        <v>1472</v>
      </c>
      <c r="AB17" s="92">
        <v>31.65</v>
      </c>
      <c r="AC17" s="92">
        <v>40.869999999999997</v>
      </c>
      <c r="AD17" s="92">
        <v>138</v>
      </c>
      <c r="AE17" s="92">
        <v>423</v>
      </c>
      <c r="AF17" s="69">
        <v>28.54</v>
      </c>
      <c r="AG17" s="92">
        <v>98.71</v>
      </c>
      <c r="AH17" s="9"/>
      <c r="AI17" s="9"/>
      <c r="AJ17" s="9"/>
      <c r="AK17" s="9"/>
      <c r="AL17" s="9"/>
      <c r="AM17" s="9"/>
      <c r="AN17" s="76"/>
      <c r="AO17" s="76"/>
      <c r="AP17" s="9"/>
      <c r="AQ17" s="9"/>
      <c r="AR17" s="9">
        <v>173</v>
      </c>
      <c r="AS17" s="9">
        <v>706</v>
      </c>
      <c r="AT17" s="92">
        <v>74</v>
      </c>
      <c r="AU17" s="92">
        <v>324</v>
      </c>
      <c r="AV17" s="92">
        <v>185</v>
      </c>
      <c r="AW17" s="92">
        <v>596</v>
      </c>
      <c r="AX17" s="92">
        <v>3</v>
      </c>
      <c r="AY17" s="92">
        <v>9</v>
      </c>
      <c r="AZ17" s="9"/>
      <c r="BA17" s="9"/>
      <c r="BB17" s="92">
        <v>1468</v>
      </c>
      <c r="BC17" s="92">
        <v>4554</v>
      </c>
      <c r="BD17" s="76"/>
      <c r="BE17" s="76"/>
      <c r="BF17" s="92">
        <v>953</v>
      </c>
      <c r="BG17" s="92">
        <v>2752</v>
      </c>
      <c r="BH17" s="9"/>
      <c r="BI17" s="9"/>
      <c r="BJ17" s="92">
        <v>39</v>
      </c>
      <c r="BK17" s="92">
        <v>105</v>
      </c>
      <c r="BL17" s="68">
        <f t="shared" ref="BL17:BL23" si="2">SUM(B17+D17+F17+H17+J17+L17+N17+P17+R17+T17+V17+X17+Z17+AB17+AD17+AF17+AH17+AJ17+AL17+AN17+AP17+AR17+AT17+AV17+AX17+AZ17+BB17+BD17+BF17+BH17+BJ17)</f>
        <v>5828.58</v>
      </c>
      <c r="BM17" s="68">
        <f t="shared" ref="BM17:BM23" si="3">SUM(C17+E17+G17+I17+K17+M17+O17+Q17+S17+U17+W17+Y17+AA17+AC17+AE17+AG17+AI17+AK17+AM17+AO17+AQ17+AS17+AU17+AW17+AY17+BA17+BC17+BE17+BG17+BI17+BK17)</f>
        <v>16230.279999999999</v>
      </c>
    </row>
    <row r="18" spans="1:65" s="71" customFormat="1" x14ac:dyDescent="0.25">
      <c r="A18" s="24" t="s">
        <v>293</v>
      </c>
      <c r="B18" s="92"/>
      <c r="C18" s="92"/>
      <c r="D18" s="92"/>
      <c r="E18" s="92"/>
      <c r="F18" s="92"/>
      <c r="G18" s="92"/>
      <c r="H18" s="92">
        <v>18</v>
      </c>
      <c r="I18" s="92">
        <v>14</v>
      </c>
      <c r="J18" s="92"/>
      <c r="K18" s="92"/>
      <c r="L18" s="92">
        <v>16</v>
      </c>
      <c r="M18" s="92">
        <v>58</v>
      </c>
      <c r="N18" s="92"/>
      <c r="O18" s="92"/>
      <c r="P18" s="92"/>
      <c r="Q18" s="92">
        <v>0.34</v>
      </c>
      <c r="R18" s="92"/>
      <c r="S18" s="92"/>
      <c r="T18" s="92">
        <v>6</v>
      </c>
      <c r="U18" s="92">
        <v>7</v>
      </c>
      <c r="V18" s="92">
        <v>30</v>
      </c>
      <c r="W18" s="92">
        <v>109</v>
      </c>
      <c r="X18" s="92">
        <v>187</v>
      </c>
      <c r="Y18" s="92">
        <v>187</v>
      </c>
      <c r="Z18" s="92">
        <v>202</v>
      </c>
      <c r="AA18" s="92">
        <v>588</v>
      </c>
      <c r="AB18" s="92">
        <v>9.49</v>
      </c>
      <c r="AC18" s="92">
        <v>11.85</v>
      </c>
      <c r="AD18" s="92">
        <v>43</v>
      </c>
      <c r="AE18" s="92">
        <v>82</v>
      </c>
      <c r="AF18" s="69">
        <v>0.31</v>
      </c>
      <c r="AG18" s="92">
        <v>0.53</v>
      </c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>
        <v>33</v>
      </c>
      <c r="AS18" s="92">
        <v>156</v>
      </c>
      <c r="AT18" s="92">
        <v>31</v>
      </c>
      <c r="AU18" s="92">
        <v>131</v>
      </c>
      <c r="AV18" s="92">
        <v>55</v>
      </c>
      <c r="AW18" s="92">
        <v>195</v>
      </c>
      <c r="AX18" s="92">
        <v>0</v>
      </c>
      <c r="AY18" s="92">
        <v>1</v>
      </c>
      <c r="AZ18" s="92"/>
      <c r="BA18" s="92"/>
      <c r="BB18" s="92">
        <v>223</v>
      </c>
      <c r="BC18" s="92">
        <v>752</v>
      </c>
      <c r="BD18" s="92"/>
      <c r="BE18" s="92"/>
      <c r="BF18" s="92">
        <v>0</v>
      </c>
      <c r="BG18" s="92">
        <v>0</v>
      </c>
      <c r="BH18" s="92"/>
      <c r="BI18" s="92"/>
      <c r="BJ18" s="92">
        <v>10</v>
      </c>
      <c r="BK18" s="92">
        <v>32</v>
      </c>
      <c r="BL18" s="68">
        <f t="shared" si="2"/>
        <v>863.8</v>
      </c>
      <c r="BM18" s="68">
        <f t="shared" si="3"/>
        <v>2324.7200000000003</v>
      </c>
    </row>
    <row r="19" spans="1:65" s="71" customFormat="1" x14ac:dyDescent="0.25">
      <c r="A19" s="24" t="s">
        <v>294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>
        <v>57.75</v>
      </c>
      <c r="S19" s="92">
        <v>93.84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69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>
        <v>0</v>
      </c>
      <c r="BG19" s="92">
        <v>0</v>
      </c>
      <c r="BH19" s="92"/>
      <c r="BI19" s="92"/>
      <c r="BJ19" s="92"/>
      <c r="BK19" s="92"/>
      <c r="BL19" s="68">
        <f t="shared" si="2"/>
        <v>57.75</v>
      </c>
      <c r="BM19" s="68">
        <f t="shared" si="3"/>
        <v>93.84</v>
      </c>
    </row>
    <row r="20" spans="1:65" s="7" customFormat="1" x14ac:dyDescent="0.25">
      <c r="A20" s="10" t="s">
        <v>295</v>
      </c>
      <c r="B20" s="10"/>
      <c r="C20" s="10"/>
      <c r="D20" s="10"/>
      <c r="E20" s="10"/>
      <c r="F20" s="10"/>
      <c r="G20" s="10"/>
      <c r="H20" s="10">
        <v>382</v>
      </c>
      <c r="I20" s="10">
        <v>1282</v>
      </c>
      <c r="J20" s="10"/>
      <c r="K20" s="10"/>
      <c r="L20" s="10">
        <v>230</v>
      </c>
      <c r="M20" s="10">
        <v>715</v>
      </c>
      <c r="N20" s="10"/>
      <c r="O20" s="10"/>
      <c r="P20" s="10">
        <v>16.04</v>
      </c>
      <c r="Q20" s="10">
        <v>29.59</v>
      </c>
      <c r="R20" s="10">
        <v>283.10000000000002</v>
      </c>
      <c r="S20" s="10">
        <v>912.3</v>
      </c>
      <c r="T20" s="10">
        <v>21</v>
      </c>
      <c r="U20" s="10">
        <v>38</v>
      </c>
      <c r="V20" s="10">
        <v>462</v>
      </c>
      <c r="W20" s="10">
        <v>1437</v>
      </c>
      <c r="X20" s="10">
        <v>1206</v>
      </c>
      <c r="Y20" s="10">
        <v>1206</v>
      </c>
      <c r="Z20" s="10">
        <v>652</v>
      </c>
      <c r="AA20" s="10">
        <v>2060</v>
      </c>
      <c r="AB20" s="10">
        <v>41.14</v>
      </c>
      <c r="AC20" s="10">
        <v>52.72</v>
      </c>
      <c r="AD20" s="10">
        <v>181</v>
      </c>
      <c r="AE20" s="10">
        <v>505</v>
      </c>
      <c r="AF20" s="10">
        <v>28.85</v>
      </c>
      <c r="AG20" s="10">
        <v>99.24</v>
      </c>
      <c r="AH20" s="10"/>
      <c r="AI20" s="10"/>
      <c r="AJ20" s="10"/>
      <c r="AK20" s="10"/>
      <c r="AL20" s="10">
        <v>43.18</v>
      </c>
      <c r="AM20" s="10">
        <v>121.61</v>
      </c>
      <c r="AN20" s="10"/>
      <c r="AO20" s="10"/>
      <c r="AP20" s="10"/>
      <c r="AQ20" s="10"/>
      <c r="AR20" s="10">
        <v>206</v>
      </c>
      <c r="AS20" s="10">
        <v>862</v>
      </c>
      <c r="AT20" s="10">
        <v>106</v>
      </c>
      <c r="AU20" s="10">
        <v>454</v>
      </c>
      <c r="AV20" s="10">
        <v>241</v>
      </c>
      <c r="AW20" s="10">
        <v>791</v>
      </c>
      <c r="AX20" s="10">
        <v>3</v>
      </c>
      <c r="AY20" s="10">
        <v>10</v>
      </c>
      <c r="AZ20" s="10"/>
      <c r="BA20" s="10"/>
      <c r="BB20" s="10">
        <v>1691</v>
      </c>
      <c r="BC20" s="10">
        <v>5306</v>
      </c>
      <c r="BD20" s="10">
        <v>2750</v>
      </c>
      <c r="BE20" s="10">
        <v>6916</v>
      </c>
      <c r="BF20" s="10">
        <v>953</v>
      </c>
      <c r="BG20" s="10">
        <v>2752</v>
      </c>
      <c r="BH20" s="10">
        <v>809</v>
      </c>
      <c r="BI20" s="10">
        <v>2206</v>
      </c>
      <c r="BJ20" s="10">
        <v>49</v>
      </c>
      <c r="BK20" s="10">
        <v>137</v>
      </c>
      <c r="BL20" s="63">
        <f t="shared" si="2"/>
        <v>10354.31</v>
      </c>
      <c r="BM20" s="63">
        <f t="shared" si="3"/>
        <v>27892.46</v>
      </c>
    </row>
    <row r="21" spans="1:65" x14ac:dyDescent="0.25">
      <c r="A21" s="24" t="s">
        <v>296</v>
      </c>
      <c r="B21" s="9"/>
      <c r="C21" s="9"/>
      <c r="D21" s="9"/>
      <c r="E21" s="9"/>
      <c r="F21" s="9"/>
      <c r="G21" s="9"/>
      <c r="H21" s="92"/>
      <c r="I21" s="92"/>
      <c r="J21" s="76"/>
      <c r="K21" s="76"/>
      <c r="L21" s="92"/>
      <c r="M21" s="92"/>
      <c r="N21" s="76"/>
      <c r="O21" s="76"/>
      <c r="P21" s="92"/>
      <c r="Q21" s="92"/>
      <c r="R21" s="92">
        <v>0.47</v>
      </c>
      <c r="S21" s="92">
        <v>11.12</v>
      </c>
      <c r="T21" s="92">
        <v>3</v>
      </c>
      <c r="U21" s="92">
        <v>21</v>
      </c>
      <c r="V21" s="92">
        <v>-11</v>
      </c>
      <c r="W21" s="92">
        <v>69</v>
      </c>
      <c r="X21" s="92">
        <v>31</v>
      </c>
      <c r="Y21" s="92">
        <v>31</v>
      </c>
      <c r="Z21" s="92">
        <v>2</v>
      </c>
      <c r="AA21" s="92">
        <v>11</v>
      </c>
      <c r="AB21" s="92">
        <v>1.07</v>
      </c>
      <c r="AC21" s="92">
        <v>1.07</v>
      </c>
      <c r="AD21" s="92"/>
      <c r="AE21" s="92">
        <v>2</v>
      </c>
      <c r="AF21" s="69">
        <v>11.42</v>
      </c>
      <c r="AG21" s="92">
        <v>17.940000000000001</v>
      </c>
      <c r="AH21" s="9"/>
      <c r="AI21" s="9"/>
      <c r="AJ21" s="9"/>
      <c r="AK21" s="9"/>
      <c r="AL21" s="92">
        <v>273.77</v>
      </c>
      <c r="AM21" s="92">
        <v>991.51</v>
      </c>
      <c r="AN21" s="76"/>
      <c r="AO21" s="76"/>
      <c r="AP21" s="9"/>
      <c r="AQ21" s="9"/>
      <c r="AR21" s="9"/>
      <c r="AS21" s="9">
        <v>5</v>
      </c>
      <c r="AT21" s="92">
        <v>0</v>
      </c>
      <c r="AU21" s="92">
        <v>0</v>
      </c>
      <c r="AV21" s="92">
        <v>6</v>
      </c>
      <c r="AW21" s="92">
        <v>41</v>
      </c>
      <c r="AX21" s="92"/>
      <c r="AY21" s="92"/>
      <c r="AZ21" s="9"/>
      <c r="BA21" s="9"/>
      <c r="BB21" s="92">
        <v>25</v>
      </c>
      <c r="BC21" s="92">
        <v>243</v>
      </c>
      <c r="BD21" s="92">
        <v>121</v>
      </c>
      <c r="BE21" s="92">
        <v>500</v>
      </c>
      <c r="BF21" s="92">
        <v>31</v>
      </c>
      <c r="BG21" s="92">
        <v>104</v>
      </c>
      <c r="BH21" s="92">
        <v>3</v>
      </c>
      <c r="BI21" s="92">
        <v>29</v>
      </c>
      <c r="BJ21" s="92"/>
      <c r="BK21" s="92"/>
      <c r="BL21" s="68">
        <f t="shared" si="2"/>
        <v>497.72999999999996</v>
      </c>
      <c r="BM21" s="68">
        <f t="shared" si="3"/>
        <v>2077.64</v>
      </c>
    </row>
    <row r="22" spans="1:65" x14ac:dyDescent="0.25">
      <c r="A22" s="24" t="s">
        <v>297</v>
      </c>
      <c r="B22" s="9"/>
      <c r="C22" s="9"/>
      <c r="D22" s="9"/>
      <c r="E22" s="9"/>
      <c r="F22" s="9"/>
      <c r="G22" s="9"/>
      <c r="H22" s="92">
        <v>-81</v>
      </c>
      <c r="I22" s="92">
        <v>-404</v>
      </c>
      <c r="J22" s="76"/>
      <c r="K22" s="76"/>
      <c r="L22" s="92">
        <v>213</v>
      </c>
      <c r="M22" s="92">
        <v>798</v>
      </c>
      <c r="N22" s="76"/>
      <c r="O22" s="76"/>
      <c r="P22" s="92">
        <v>15.18</v>
      </c>
      <c r="Q22" s="92">
        <v>26.29</v>
      </c>
      <c r="R22" s="92">
        <v>179.32</v>
      </c>
      <c r="S22" s="92">
        <v>256.04000000000002</v>
      </c>
      <c r="T22" s="92">
        <v>-45</v>
      </c>
      <c r="U22" s="92">
        <v>-285</v>
      </c>
      <c r="V22" s="92">
        <v>-53</v>
      </c>
      <c r="W22" s="92">
        <v>-219</v>
      </c>
      <c r="X22" s="92">
        <v>300</v>
      </c>
      <c r="Y22" s="92">
        <v>300</v>
      </c>
      <c r="Z22" s="92">
        <v>512</v>
      </c>
      <c r="AA22" s="92">
        <v>1424</v>
      </c>
      <c r="AB22" s="92">
        <v>25.02</v>
      </c>
      <c r="AC22" s="92">
        <v>33.729999999999997</v>
      </c>
      <c r="AD22" s="92">
        <v>7</v>
      </c>
      <c r="AE22" s="92">
        <v>21</v>
      </c>
      <c r="AF22" s="69">
        <v>-48.79</v>
      </c>
      <c r="AG22" s="92">
        <v>-162.94</v>
      </c>
      <c r="AH22" s="9"/>
      <c r="AI22" s="9"/>
      <c r="AJ22" s="9"/>
      <c r="AK22" s="9"/>
      <c r="AL22" s="92">
        <v>396.08</v>
      </c>
      <c r="AM22" s="92">
        <v>659.45</v>
      </c>
      <c r="AN22" s="76"/>
      <c r="AO22" s="76"/>
      <c r="AP22" s="9"/>
      <c r="AQ22" s="9"/>
      <c r="AR22" s="9">
        <v>351</v>
      </c>
      <c r="AS22" s="9">
        <v>973</v>
      </c>
      <c r="AT22" s="92">
        <v>76</v>
      </c>
      <c r="AU22" s="92">
        <v>286</v>
      </c>
      <c r="AV22" s="92">
        <v>27</v>
      </c>
      <c r="AW22" s="92">
        <v>81</v>
      </c>
      <c r="AX22" s="92">
        <v>3</v>
      </c>
      <c r="AY22" s="92">
        <v>9</v>
      </c>
      <c r="AZ22" s="9"/>
      <c r="BA22" s="9"/>
      <c r="BB22" s="92">
        <v>239</v>
      </c>
      <c r="BC22" s="92">
        <v>804</v>
      </c>
      <c r="BD22" s="92">
        <v>636</v>
      </c>
      <c r="BE22" s="92">
        <v>1591</v>
      </c>
      <c r="BF22" s="92">
        <v>317</v>
      </c>
      <c r="BG22" s="92">
        <v>980</v>
      </c>
      <c r="BH22" s="92">
        <v>171</v>
      </c>
      <c r="BI22" s="92">
        <v>454</v>
      </c>
      <c r="BJ22" s="92">
        <v>98</v>
      </c>
      <c r="BK22" s="92">
        <v>271</v>
      </c>
      <c r="BL22" s="68">
        <f t="shared" si="2"/>
        <v>3337.81</v>
      </c>
      <c r="BM22" s="68">
        <f t="shared" si="3"/>
        <v>7896.57</v>
      </c>
    </row>
    <row r="23" spans="1:65" s="7" customFormat="1" x14ac:dyDescent="0.25">
      <c r="A23" s="10" t="s">
        <v>190</v>
      </c>
      <c r="B23" s="10"/>
      <c r="C23" s="10"/>
      <c r="D23" s="10"/>
      <c r="E23" s="10"/>
      <c r="F23" s="10"/>
      <c r="G23" s="10"/>
      <c r="H23" s="10">
        <v>301</v>
      </c>
      <c r="I23" s="10">
        <v>878</v>
      </c>
      <c r="J23" s="10"/>
      <c r="K23" s="10"/>
      <c r="L23" s="10">
        <v>17</v>
      </c>
      <c r="M23" s="10">
        <v>-83</v>
      </c>
      <c r="N23" s="10"/>
      <c r="O23" s="10"/>
      <c r="P23" s="10">
        <v>0.86</v>
      </c>
      <c r="Q23" s="10">
        <v>3.3</v>
      </c>
      <c r="R23" s="10">
        <v>104.25</v>
      </c>
      <c r="S23" s="10">
        <v>667.37</v>
      </c>
      <c r="T23" s="10">
        <v>-21</v>
      </c>
      <c r="U23" s="10">
        <v>-226</v>
      </c>
      <c r="V23" s="10">
        <v>398</v>
      </c>
      <c r="W23" s="10">
        <v>1286</v>
      </c>
      <c r="X23" s="10">
        <v>937</v>
      </c>
      <c r="Y23" s="10">
        <v>937</v>
      </c>
      <c r="Z23" s="10">
        <v>142</v>
      </c>
      <c r="AA23" s="10">
        <v>647</v>
      </c>
      <c r="AB23" s="10">
        <v>17.190000000000001</v>
      </c>
      <c r="AC23" s="10">
        <v>20.059999999999999</v>
      </c>
      <c r="AD23" s="10">
        <v>174</v>
      </c>
      <c r="AE23" s="10">
        <v>486</v>
      </c>
      <c r="AF23" s="10">
        <v>-8.52</v>
      </c>
      <c r="AG23" s="10">
        <v>-45.76</v>
      </c>
      <c r="AH23" s="10"/>
      <c r="AI23" s="10"/>
      <c r="AJ23" s="10"/>
      <c r="AK23" s="10"/>
      <c r="AL23" s="10">
        <v>626.66999999999996</v>
      </c>
      <c r="AM23" s="10">
        <v>1529.35</v>
      </c>
      <c r="AN23" s="10"/>
      <c r="AO23" s="10"/>
      <c r="AP23" s="10"/>
      <c r="AQ23" s="10"/>
      <c r="AR23" s="10">
        <v>-144</v>
      </c>
      <c r="AS23" s="10">
        <v>-106</v>
      </c>
      <c r="AT23" s="10">
        <v>30</v>
      </c>
      <c r="AU23" s="10">
        <v>168</v>
      </c>
      <c r="AV23" s="10">
        <v>220</v>
      </c>
      <c r="AW23" s="10">
        <v>751</v>
      </c>
      <c r="AX23" s="10">
        <v>0</v>
      </c>
      <c r="AY23" s="10">
        <v>2</v>
      </c>
      <c r="AZ23" s="10"/>
      <c r="BA23" s="10"/>
      <c r="BB23" s="10">
        <v>1478</v>
      </c>
      <c r="BC23" s="10">
        <v>4745</v>
      </c>
      <c r="BD23" s="10">
        <v>2235</v>
      </c>
      <c r="BE23" s="10">
        <v>5825</v>
      </c>
      <c r="BF23" s="10">
        <v>667</v>
      </c>
      <c r="BG23" s="10">
        <v>1877</v>
      </c>
      <c r="BH23" s="10">
        <v>641</v>
      </c>
      <c r="BI23" s="10">
        <v>1781</v>
      </c>
      <c r="BJ23" s="10">
        <v>-49</v>
      </c>
      <c r="BK23" s="10">
        <v>-133</v>
      </c>
      <c r="BL23" s="63">
        <f t="shared" si="2"/>
        <v>7766.4500000000007</v>
      </c>
      <c r="BM23" s="63">
        <f t="shared" si="3"/>
        <v>21009.32</v>
      </c>
    </row>
    <row r="24" spans="1:65" x14ac:dyDescent="0.25">
      <c r="A24" s="22"/>
    </row>
    <row r="25" spans="1:65" x14ac:dyDescent="0.25">
      <c r="A25" s="23" t="s">
        <v>184</v>
      </c>
    </row>
    <row r="26" spans="1:65" x14ac:dyDescent="0.25">
      <c r="A26" s="3" t="s">
        <v>0</v>
      </c>
      <c r="B26" s="153" t="s">
        <v>1</v>
      </c>
      <c r="C26" s="154"/>
      <c r="D26" s="153" t="s">
        <v>234</v>
      </c>
      <c r="E26" s="154"/>
      <c r="F26" s="153" t="s">
        <v>2</v>
      </c>
      <c r="G26" s="154"/>
      <c r="H26" s="153" t="s">
        <v>3</v>
      </c>
      <c r="I26" s="154"/>
      <c r="J26" s="153" t="s">
        <v>243</v>
      </c>
      <c r="K26" s="154"/>
      <c r="L26" s="153" t="s">
        <v>235</v>
      </c>
      <c r="M26" s="154"/>
      <c r="N26" s="153" t="s">
        <v>5</v>
      </c>
      <c r="O26" s="154"/>
      <c r="P26" s="153" t="s">
        <v>4</v>
      </c>
      <c r="Q26" s="154"/>
      <c r="R26" s="153" t="s">
        <v>6</v>
      </c>
      <c r="S26" s="154"/>
      <c r="T26" s="153" t="s">
        <v>246</v>
      </c>
      <c r="U26" s="154"/>
      <c r="V26" s="153" t="s">
        <v>7</v>
      </c>
      <c r="W26" s="154"/>
      <c r="X26" s="153" t="s">
        <v>8</v>
      </c>
      <c r="Y26" s="154"/>
      <c r="Z26" s="153" t="s">
        <v>9</v>
      </c>
      <c r="AA26" s="154"/>
      <c r="AB26" s="153" t="s">
        <v>242</v>
      </c>
      <c r="AC26" s="154"/>
      <c r="AD26" s="153" t="s">
        <v>10</v>
      </c>
      <c r="AE26" s="154"/>
      <c r="AF26" s="153" t="s">
        <v>11</v>
      </c>
      <c r="AG26" s="154"/>
      <c r="AH26" s="153" t="s">
        <v>236</v>
      </c>
      <c r="AI26" s="154"/>
      <c r="AJ26" s="153" t="s">
        <v>245</v>
      </c>
      <c r="AK26" s="154"/>
      <c r="AL26" s="153" t="s">
        <v>12</v>
      </c>
      <c r="AM26" s="154"/>
      <c r="AN26" s="153" t="s">
        <v>237</v>
      </c>
      <c r="AO26" s="154"/>
      <c r="AP26" s="153" t="s">
        <v>238</v>
      </c>
      <c r="AQ26" s="154"/>
      <c r="AR26" s="153" t="s">
        <v>241</v>
      </c>
      <c r="AS26" s="154"/>
      <c r="AT26" s="153" t="s">
        <v>13</v>
      </c>
      <c r="AU26" s="154"/>
      <c r="AV26" s="153" t="s">
        <v>14</v>
      </c>
      <c r="AW26" s="154"/>
      <c r="AX26" s="153" t="s">
        <v>15</v>
      </c>
      <c r="AY26" s="154"/>
      <c r="AZ26" s="153" t="s">
        <v>16</v>
      </c>
      <c r="BA26" s="154"/>
      <c r="BB26" s="153" t="s">
        <v>17</v>
      </c>
      <c r="BC26" s="154"/>
      <c r="BD26" s="153" t="s">
        <v>239</v>
      </c>
      <c r="BE26" s="154"/>
      <c r="BF26" s="153" t="s">
        <v>240</v>
      </c>
      <c r="BG26" s="154"/>
      <c r="BH26" s="153" t="s">
        <v>18</v>
      </c>
      <c r="BI26" s="154"/>
      <c r="BJ26" s="153" t="s">
        <v>19</v>
      </c>
      <c r="BK26" s="154"/>
      <c r="BL26" s="155" t="s">
        <v>20</v>
      </c>
      <c r="BM26" s="156"/>
    </row>
    <row r="27" spans="1:65" ht="30" x14ac:dyDescent="0.25">
      <c r="A27" s="3"/>
      <c r="B27" s="53" t="s">
        <v>303</v>
      </c>
      <c r="C27" s="54" t="s">
        <v>302</v>
      </c>
      <c r="D27" s="53" t="s">
        <v>303</v>
      </c>
      <c r="E27" s="54" t="s">
        <v>302</v>
      </c>
      <c r="F27" s="53" t="s">
        <v>303</v>
      </c>
      <c r="G27" s="54" t="s">
        <v>302</v>
      </c>
      <c r="H27" s="53" t="s">
        <v>303</v>
      </c>
      <c r="I27" s="54" t="s">
        <v>302</v>
      </c>
      <c r="J27" s="53" t="s">
        <v>303</v>
      </c>
      <c r="K27" s="54" t="s">
        <v>302</v>
      </c>
      <c r="L27" s="53" t="s">
        <v>303</v>
      </c>
      <c r="M27" s="54" t="s">
        <v>302</v>
      </c>
      <c r="N27" s="53" t="s">
        <v>303</v>
      </c>
      <c r="O27" s="54" t="s">
        <v>302</v>
      </c>
      <c r="P27" s="53" t="s">
        <v>303</v>
      </c>
      <c r="Q27" s="54" t="s">
        <v>302</v>
      </c>
      <c r="R27" s="53" t="s">
        <v>303</v>
      </c>
      <c r="S27" s="54" t="s">
        <v>302</v>
      </c>
      <c r="T27" s="53" t="s">
        <v>303</v>
      </c>
      <c r="U27" s="54" t="s">
        <v>302</v>
      </c>
      <c r="V27" s="53" t="s">
        <v>303</v>
      </c>
      <c r="W27" s="54" t="s">
        <v>302</v>
      </c>
      <c r="X27" s="53" t="s">
        <v>303</v>
      </c>
      <c r="Y27" s="54" t="s">
        <v>302</v>
      </c>
      <c r="Z27" s="53" t="s">
        <v>303</v>
      </c>
      <c r="AA27" s="54" t="s">
        <v>302</v>
      </c>
      <c r="AB27" s="53" t="s">
        <v>303</v>
      </c>
      <c r="AC27" s="54" t="s">
        <v>302</v>
      </c>
      <c r="AD27" s="53" t="s">
        <v>303</v>
      </c>
      <c r="AE27" s="54" t="s">
        <v>302</v>
      </c>
      <c r="AF27" s="53" t="s">
        <v>303</v>
      </c>
      <c r="AG27" s="54" t="s">
        <v>302</v>
      </c>
      <c r="AH27" s="53" t="s">
        <v>303</v>
      </c>
      <c r="AI27" s="54" t="s">
        <v>302</v>
      </c>
      <c r="AJ27" s="53" t="s">
        <v>303</v>
      </c>
      <c r="AK27" s="54" t="s">
        <v>302</v>
      </c>
      <c r="AL27" s="53" t="s">
        <v>303</v>
      </c>
      <c r="AM27" s="54" t="s">
        <v>302</v>
      </c>
      <c r="AN27" s="53" t="s">
        <v>303</v>
      </c>
      <c r="AO27" s="54" t="s">
        <v>302</v>
      </c>
      <c r="AP27" s="53" t="s">
        <v>303</v>
      </c>
      <c r="AQ27" s="54" t="s">
        <v>302</v>
      </c>
      <c r="AR27" s="53" t="s">
        <v>303</v>
      </c>
      <c r="AS27" s="54" t="s">
        <v>302</v>
      </c>
      <c r="AT27" s="53" t="s">
        <v>303</v>
      </c>
      <c r="AU27" s="54" t="s">
        <v>302</v>
      </c>
      <c r="AV27" s="53" t="s">
        <v>303</v>
      </c>
      <c r="AW27" s="54" t="s">
        <v>302</v>
      </c>
      <c r="AX27" s="53" t="s">
        <v>303</v>
      </c>
      <c r="AY27" s="54" t="s">
        <v>302</v>
      </c>
      <c r="AZ27" s="53" t="s">
        <v>303</v>
      </c>
      <c r="BA27" s="54" t="s">
        <v>302</v>
      </c>
      <c r="BB27" s="53" t="s">
        <v>303</v>
      </c>
      <c r="BC27" s="54" t="s">
        <v>302</v>
      </c>
      <c r="BD27" s="53" t="s">
        <v>303</v>
      </c>
      <c r="BE27" s="54" t="s">
        <v>302</v>
      </c>
      <c r="BF27" s="53" t="s">
        <v>303</v>
      </c>
      <c r="BG27" s="54" t="s">
        <v>302</v>
      </c>
      <c r="BH27" s="53" t="s">
        <v>303</v>
      </c>
      <c r="BI27" s="54" t="s">
        <v>302</v>
      </c>
      <c r="BJ27" s="53" t="s">
        <v>303</v>
      </c>
      <c r="BK27" s="54" t="s">
        <v>302</v>
      </c>
      <c r="BL27" s="105" t="s">
        <v>303</v>
      </c>
      <c r="BM27" s="106" t="s">
        <v>302</v>
      </c>
    </row>
    <row r="28" spans="1:65" x14ac:dyDescent="0.25">
      <c r="A28" s="24" t="s">
        <v>292</v>
      </c>
      <c r="B28" s="92">
        <v>140</v>
      </c>
      <c r="C28" s="92">
        <v>344</v>
      </c>
      <c r="D28" s="9"/>
      <c r="E28" s="9"/>
      <c r="F28" s="9"/>
      <c r="G28" s="9"/>
      <c r="H28" s="92">
        <v>8523</v>
      </c>
      <c r="I28" s="92">
        <v>21692</v>
      </c>
      <c r="J28" s="76"/>
      <c r="K28" s="76"/>
      <c r="L28" s="92">
        <v>6543</v>
      </c>
      <c r="M28" s="92">
        <v>15863</v>
      </c>
      <c r="N28" s="76"/>
      <c r="O28" s="76"/>
      <c r="P28" s="92">
        <v>426.24</v>
      </c>
      <c r="Q28" s="92">
        <v>979.03</v>
      </c>
      <c r="R28" s="92">
        <v>2809.22</v>
      </c>
      <c r="S28" s="92">
        <v>8146.31</v>
      </c>
      <c r="T28" s="92">
        <v>3429</v>
      </c>
      <c r="U28" s="92">
        <v>7497</v>
      </c>
      <c r="V28" s="92">
        <v>6510</v>
      </c>
      <c r="W28" s="92">
        <v>16189</v>
      </c>
      <c r="X28" s="92">
        <v>18871</v>
      </c>
      <c r="Y28" s="92">
        <v>42786</v>
      </c>
      <c r="Z28" s="92">
        <v>9152</v>
      </c>
      <c r="AA28" s="92">
        <v>23001</v>
      </c>
      <c r="AB28" s="92">
        <v>1146.69</v>
      </c>
      <c r="AC28" s="92">
        <v>2121.67</v>
      </c>
      <c r="AD28" s="92">
        <v>2177</v>
      </c>
      <c r="AE28" s="92">
        <v>5355</v>
      </c>
      <c r="AF28" s="69">
        <v>2097.5</v>
      </c>
      <c r="AG28" s="92">
        <v>4795.3</v>
      </c>
      <c r="AH28" s="9"/>
      <c r="AI28" s="9"/>
      <c r="AJ28" s="9"/>
      <c r="AK28" s="9"/>
      <c r="AL28" s="76"/>
      <c r="AM28" s="76"/>
      <c r="AN28" s="92">
        <v>28</v>
      </c>
      <c r="AO28" s="92">
        <v>63</v>
      </c>
      <c r="AP28" s="92">
        <v>845</v>
      </c>
      <c r="AQ28" s="92">
        <v>2343</v>
      </c>
      <c r="AR28" s="9">
        <v>7852</v>
      </c>
      <c r="AS28" s="9">
        <v>19074</v>
      </c>
      <c r="AT28" s="92">
        <v>4462</v>
      </c>
      <c r="AU28" s="92">
        <v>11440</v>
      </c>
      <c r="AV28" s="92">
        <v>5655</v>
      </c>
      <c r="AW28" s="92">
        <v>12861</v>
      </c>
      <c r="AX28" s="92">
        <v>2001</v>
      </c>
      <c r="AY28" s="92">
        <v>5477</v>
      </c>
      <c r="AZ28" s="9"/>
      <c r="BA28" s="9"/>
      <c r="BB28" s="92">
        <v>7638</v>
      </c>
      <c r="BC28" s="92">
        <v>19054</v>
      </c>
      <c r="BD28" s="76"/>
      <c r="BE28" s="76"/>
      <c r="BF28" s="92">
        <v>7950</v>
      </c>
      <c r="BG28" s="92">
        <v>20063</v>
      </c>
      <c r="BH28" s="9"/>
      <c r="BI28" s="9"/>
      <c r="BJ28" s="92">
        <v>3342</v>
      </c>
      <c r="BK28" s="92">
        <v>7497</v>
      </c>
      <c r="BL28" s="68">
        <f t="shared" ref="BL28:BL34" si="4">SUM(B28+D28+F28+H28+J28+L28+N28+P28+R28+T28+V28+X28+Z28+AB28+AD28+AF28+AH28+AJ28+AL28+AN28+AP28+AR28+AT28+AV28+AX28+AZ28+BB28+BD28+BF28+BH28+BJ28)</f>
        <v>101597.65</v>
      </c>
      <c r="BM28" s="68">
        <f t="shared" ref="BM28:BM34" si="5">SUM(C28+E28+G28+I28+K28+M28+O28+Q28+S28+U28+W28+Y28+AA28+AC28+AE28+AG28+AI28+AK28+AM28+AO28+AQ28+AS28+AU28+AW28+AY28+BA28+BC28+BE28+BG28+BI28+BK28)</f>
        <v>246641.31</v>
      </c>
    </row>
    <row r="29" spans="1:65" s="71" customFormat="1" x14ac:dyDescent="0.25">
      <c r="A29" s="24" t="s">
        <v>293</v>
      </c>
      <c r="B29" s="92">
        <v>4</v>
      </c>
      <c r="C29" s="92">
        <v>12</v>
      </c>
      <c r="D29" s="92"/>
      <c r="E29" s="92"/>
      <c r="F29" s="92"/>
      <c r="G29" s="92"/>
      <c r="H29" s="92">
        <v>1790</v>
      </c>
      <c r="I29" s="92">
        <v>4154</v>
      </c>
      <c r="J29" s="92"/>
      <c r="K29" s="92"/>
      <c r="L29" s="92">
        <v>801</v>
      </c>
      <c r="M29" s="92">
        <v>2415</v>
      </c>
      <c r="N29" s="92"/>
      <c r="O29" s="92"/>
      <c r="P29" s="92">
        <v>101.04</v>
      </c>
      <c r="Q29" s="92">
        <v>253.44</v>
      </c>
      <c r="R29" s="92">
        <v>80.81</v>
      </c>
      <c r="S29" s="92">
        <v>242.02</v>
      </c>
      <c r="T29" s="92">
        <v>950</v>
      </c>
      <c r="U29" s="92">
        <v>2054</v>
      </c>
      <c r="V29" s="92">
        <v>1340</v>
      </c>
      <c r="W29" s="92">
        <v>3475</v>
      </c>
      <c r="X29" s="92">
        <v>4313</v>
      </c>
      <c r="Y29" s="92">
        <v>10062</v>
      </c>
      <c r="Z29" s="92">
        <v>280</v>
      </c>
      <c r="AA29" s="92">
        <v>1047</v>
      </c>
      <c r="AB29" s="92">
        <v>312.81</v>
      </c>
      <c r="AC29" s="92">
        <v>518.14</v>
      </c>
      <c r="AD29" s="92">
        <v>644</v>
      </c>
      <c r="AE29" s="92">
        <v>1614</v>
      </c>
      <c r="AF29" s="69">
        <v>579.03</v>
      </c>
      <c r="AG29" s="92">
        <v>1290.96</v>
      </c>
      <c r="AH29" s="92"/>
      <c r="AI29" s="92"/>
      <c r="AJ29" s="92"/>
      <c r="AK29" s="92"/>
      <c r="AL29" s="92"/>
      <c r="AM29" s="92"/>
      <c r="AN29" s="92">
        <v>7</v>
      </c>
      <c r="AO29" s="92">
        <v>11</v>
      </c>
      <c r="AP29" s="92">
        <v>39</v>
      </c>
      <c r="AQ29" s="92">
        <v>189</v>
      </c>
      <c r="AR29" s="92">
        <v>1566</v>
      </c>
      <c r="AS29" s="92">
        <v>3745</v>
      </c>
      <c r="AT29" s="92">
        <v>1081</v>
      </c>
      <c r="AU29" s="92">
        <v>2695</v>
      </c>
      <c r="AV29" s="92">
        <v>1568</v>
      </c>
      <c r="AW29" s="92">
        <v>3550</v>
      </c>
      <c r="AX29" s="92">
        <v>338</v>
      </c>
      <c r="AY29" s="92">
        <v>747</v>
      </c>
      <c r="AZ29" s="92"/>
      <c r="BA29" s="92"/>
      <c r="BB29" s="92">
        <v>1717</v>
      </c>
      <c r="BC29" s="92">
        <v>4467</v>
      </c>
      <c r="BD29" s="92"/>
      <c r="BE29" s="92"/>
      <c r="BF29" s="92">
        <v>0</v>
      </c>
      <c r="BG29" s="92">
        <v>0</v>
      </c>
      <c r="BH29" s="92"/>
      <c r="BI29" s="92"/>
      <c r="BJ29" s="92">
        <v>1005</v>
      </c>
      <c r="BK29" s="92">
        <v>2301</v>
      </c>
      <c r="BL29" s="68">
        <f t="shared" si="4"/>
        <v>18516.690000000002</v>
      </c>
      <c r="BM29" s="68">
        <f t="shared" si="5"/>
        <v>44842.559999999998</v>
      </c>
    </row>
    <row r="30" spans="1:65" s="71" customFormat="1" x14ac:dyDescent="0.25">
      <c r="A30" s="24" t="s">
        <v>294</v>
      </c>
      <c r="B30" s="92"/>
      <c r="C30" s="92"/>
      <c r="D30" s="92"/>
      <c r="E30" s="92"/>
      <c r="F30" s="92"/>
      <c r="G30" s="92"/>
      <c r="H30" s="92">
        <v>406</v>
      </c>
      <c r="I30" s="92">
        <v>939</v>
      </c>
      <c r="J30" s="92"/>
      <c r="K30" s="92"/>
      <c r="L30" s="92">
        <v>56</v>
      </c>
      <c r="M30" s="92">
        <v>136</v>
      </c>
      <c r="N30" s="92"/>
      <c r="O30" s="92"/>
      <c r="P30" s="92"/>
      <c r="Q30" s="92"/>
      <c r="R30" s="92">
        <v>453.31</v>
      </c>
      <c r="S30" s="92">
        <v>1053.3699999999999</v>
      </c>
      <c r="T30" s="92">
        <v>129</v>
      </c>
      <c r="U30" s="92">
        <v>292</v>
      </c>
      <c r="V30" s="92">
        <v>334</v>
      </c>
      <c r="W30" s="92">
        <v>779</v>
      </c>
      <c r="X30" s="92">
        <v>1647</v>
      </c>
      <c r="Y30" s="92">
        <v>3842</v>
      </c>
      <c r="Z30" s="92">
        <v>377</v>
      </c>
      <c r="AA30" s="92">
        <v>993</v>
      </c>
      <c r="AB30" s="92"/>
      <c r="AC30" s="92"/>
      <c r="AD30" s="92">
        <v>127</v>
      </c>
      <c r="AE30" s="92">
        <v>327</v>
      </c>
      <c r="AF30" s="69">
        <v>44.76</v>
      </c>
      <c r="AG30" s="92">
        <v>127.36</v>
      </c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>
        <v>287</v>
      </c>
      <c r="AS30" s="92">
        <v>633</v>
      </c>
      <c r="AT30" s="92">
        <v>36</v>
      </c>
      <c r="AU30" s="92">
        <v>112</v>
      </c>
      <c r="AV30" s="92">
        <v>1</v>
      </c>
      <c r="AW30" s="92">
        <v>7</v>
      </c>
      <c r="AX30" s="92">
        <v>19</v>
      </c>
      <c r="AY30" s="92">
        <v>42</v>
      </c>
      <c r="AZ30" s="92"/>
      <c r="BA30" s="92"/>
      <c r="BB30" s="92">
        <v>2803</v>
      </c>
      <c r="BC30" s="92">
        <v>6828</v>
      </c>
      <c r="BD30" s="92"/>
      <c r="BE30" s="92"/>
      <c r="BF30" s="92">
        <v>0</v>
      </c>
      <c r="BG30" s="92">
        <v>0</v>
      </c>
      <c r="BH30" s="92"/>
      <c r="BI30" s="92"/>
      <c r="BJ30" s="92"/>
      <c r="BK30" s="92"/>
      <c r="BL30" s="68">
        <f t="shared" si="4"/>
        <v>6720.07</v>
      </c>
      <c r="BM30" s="68">
        <f t="shared" si="5"/>
        <v>16110.73</v>
      </c>
    </row>
    <row r="31" spans="1:65" s="7" customFormat="1" x14ac:dyDescent="0.25">
      <c r="A31" s="10" t="s">
        <v>295</v>
      </c>
      <c r="B31" s="10">
        <v>144</v>
      </c>
      <c r="C31" s="10">
        <v>356</v>
      </c>
      <c r="D31" s="10"/>
      <c r="E31" s="10"/>
      <c r="F31" s="10"/>
      <c r="G31" s="10"/>
      <c r="H31" s="10">
        <v>10719</v>
      </c>
      <c r="I31" s="10">
        <v>26785</v>
      </c>
      <c r="J31" s="10"/>
      <c r="K31" s="10"/>
      <c r="L31" s="10">
        <v>7399</v>
      </c>
      <c r="M31" s="10">
        <v>18414</v>
      </c>
      <c r="N31" s="10"/>
      <c r="O31" s="10"/>
      <c r="P31" s="10">
        <v>527.28</v>
      </c>
      <c r="Q31" s="10">
        <v>1232.47</v>
      </c>
      <c r="R31" s="10">
        <v>3343.34</v>
      </c>
      <c r="S31" s="10">
        <v>9441.7099999999991</v>
      </c>
      <c r="T31" s="10">
        <v>4508</v>
      </c>
      <c r="U31" s="10">
        <v>9843</v>
      </c>
      <c r="V31" s="10">
        <v>8184</v>
      </c>
      <c r="W31" s="10">
        <v>20442</v>
      </c>
      <c r="X31" s="10">
        <v>24831</v>
      </c>
      <c r="Y31" s="10">
        <v>56690</v>
      </c>
      <c r="Z31" s="10">
        <v>9809</v>
      </c>
      <c r="AA31" s="10">
        <v>25041</v>
      </c>
      <c r="AB31" s="10">
        <v>1459.5</v>
      </c>
      <c r="AC31" s="10">
        <v>2639.81</v>
      </c>
      <c r="AD31" s="10">
        <v>2949</v>
      </c>
      <c r="AE31" s="10">
        <v>7295</v>
      </c>
      <c r="AF31" s="10">
        <v>2721.29</v>
      </c>
      <c r="AG31" s="10">
        <v>6213.62</v>
      </c>
      <c r="AH31" s="10"/>
      <c r="AI31" s="10"/>
      <c r="AJ31" s="10"/>
      <c r="AK31" s="10"/>
      <c r="AL31" s="10">
        <v>10010.540000000001</v>
      </c>
      <c r="AM31" s="10">
        <v>23874.61</v>
      </c>
      <c r="AN31" s="10">
        <v>35</v>
      </c>
      <c r="AO31" s="10">
        <v>74</v>
      </c>
      <c r="AP31" s="10">
        <v>883</v>
      </c>
      <c r="AQ31" s="10">
        <v>2532</v>
      </c>
      <c r="AR31" s="10">
        <v>9704</v>
      </c>
      <c r="AS31" s="10">
        <v>23452</v>
      </c>
      <c r="AT31" s="10">
        <v>5579</v>
      </c>
      <c r="AU31" s="10">
        <v>14246</v>
      </c>
      <c r="AV31" s="10">
        <v>7225</v>
      </c>
      <c r="AW31" s="10">
        <v>16418</v>
      </c>
      <c r="AX31" s="10">
        <v>2358</v>
      </c>
      <c r="AY31" s="10">
        <v>6266</v>
      </c>
      <c r="AZ31" s="10"/>
      <c r="BA31" s="10"/>
      <c r="BB31" s="10">
        <v>12157</v>
      </c>
      <c r="BC31" s="10">
        <v>30350</v>
      </c>
      <c r="BD31" s="10">
        <v>23744</v>
      </c>
      <c r="BE31" s="10">
        <v>59392</v>
      </c>
      <c r="BF31" s="10">
        <v>7950</v>
      </c>
      <c r="BG31" s="10">
        <v>20063</v>
      </c>
      <c r="BH31" s="10">
        <v>11179</v>
      </c>
      <c r="BI31" s="10">
        <v>26805</v>
      </c>
      <c r="BJ31" s="10">
        <v>4347</v>
      </c>
      <c r="BK31" s="10">
        <v>9797</v>
      </c>
      <c r="BL31" s="63">
        <f t="shared" si="4"/>
        <v>171765.94999999998</v>
      </c>
      <c r="BM31" s="63">
        <f t="shared" si="5"/>
        <v>417663.22</v>
      </c>
    </row>
    <row r="32" spans="1:65" x14ac:dyDescent="0.25">
      <c r="A32" s="24" t="s">
        <v>296</v>
      </c>
      <c r="B32" s="92"/>
      <c r="C32" s="92"/>
      <c r="D32" s="9"/>
      <c r="E32" s="9"/>
      <c r="F32" s="9"/>
      <c r="G32" s="9"/>
      <c r="H32" s="92"/>
      <c r="I32" s="92"/>
      <c r="J32" s="76"/>
      <c r="K32" s="76"/>
      <c r="L32" s="92"/>
      <c r="M32" s="92"/>
      <c r="N32" s="76"/>
      <c r="O32" s="76"/>
      <c r="P32" s="92"/>
      <c r="Q32" s="92"/>
      <c r="R32" s="92"/>
      <c r="S32" s="92"/>
      <c r="T32" s="92">
        <v>82</v>
      </c>
      <c r="U32" s="92">
        <v>1093</v>
      </c>
      <c r="V32" s="92"/>
      <c r="W32" s="92"/>
      <c r="X32" s="92">
        <v>-71</v>
      </c>
      <c r="Y32" s="92">
        <v>-135</v>
      </c>
      <c r="Z32" s="92"/>
      <c r="AA32" s="92"/>
      <c r="AB32" s="92"/>
      <c r="AC32" s="92"/>
      <c r="AD32" s="92"/>
      <c r="AE32" s="92"/>
      <c r="AF32" s="69"/>
      <c r="AG32" s="92"/>
      <c r="AH32" s="9"/>
      <c r="AI32" s="9"/>
      <c r="AJ32" s="9"/>
      <c r="AK32" s="9"/>
      <c r="AL32" s="92">
        <v>1.41</v>
      </c>
      <c r="AM32" s="92">
        <v>1.97</v>
      </c>
      <c r="AN32" s="92"/>
      <c r="AO32" s="92"/>
      <c r="AP32" s="92"/>
      <c r="AQ32" s="92"/>
      <c r="AR32" s="9"/>
      <c r="AS32" s="9"/>
      <c r="AT32" s="92"/>
      <c r="AU32" s="92"/>
      <c r="AV32" s="92"/>
      <c r="AW32" s="92"/>
      <c r="AX32" s="92"/>
      <c r="AY32" s="92"/>
      <c r="AZ32" s="9"/>
      <c r="BA32" s="9"/>
      <c r="BB32" s="92">
        <v>697</v>
      </c>
      <c r="BC32" s="92">
        <v>744</v>
      </c>
      <c r="BD32" s="92">
        <v>8</v>
      </c>
      <c r="BE32" s="92">
        <v>14</v>
      </c>
      <c r="BF32" s="92">
        <v>2</v>
      </c>
      <c r="BG32" s="92">
        <v>3</v>
      </c>
      <c r="BH32" s="92">
        <v>0</v>
      </c>
      <c r="BI32" s="92">
        <v>0</v>
      </c>
      <c r="BJ32" s="92"/>
      <c r="BK32" s="92"/>
      <c r="BL32" s="68">
        <f t="shared" si="4"/>
        <v>719.41</v>
      </c>
      <c r="BM32" s="68">
        <f t="shared" si="5"/>
        <v>1720.97</v>
      </c>
    </row>
    <row r="33" spans="1:65" x14ac:dyDescent="0.25">
      <c r="A33" s="24" t="s">
        <v>297</v>
      </c>
      <c r="B33" s="92">
        <v>1381</v>
      </c>
      <c r="C33" s="92">
        <v>3186</v>
      </c>
      <c r="D33" s="9"/>
      <c r="E33" s="9"/>
      <c r="F33" s="9"/>
      <c r="G33" s="9"/>
      <c r="H33" s="92">
        <v>-3431</v>
      </c>
      <c r="I33" s="92">
        <v>-8595</v>
      </c>
      <c r="J33" s="76"/>
      <c r="K33" s="76"/>
      <c r="L33" s="92">
        <v>5253</v>
      </c>
      <c r="M33" s="92">
        <v>13923</v>
      </c>
      <c r="N33" s="76"/>
      <c r="O33" s="76"/>
      <c r="P33" s="92">
        <v>464.42</v>
      </c>
      <c r="Q33" s="92">
        <v>506.97</v>
      </c>
      <c r="R33" s="92">
        <v>3458.58</v>
      </c>
      <c r="S33" s="92">
        <v>3803.05</v>
      </c>
      <c r="T33" s="92">
        <v>-565</v>
      </c>
      <c r="U33" s="92">
        <v>-1330</v>
      </c>
      <c r="V33" s="92">
        <v>-8519</v>
      </c>
      <c r="W33" s="92">
        <v>-18557</v>
      </c>
      <c r="X33" s="92">
        <v>1987</v>
      </c>
      <c r="Y33" s="92">
        <v>4794</v>
      </c>
      <c r="Z33" s="92">
        <v>1773</v>
      </c>
      <c r="AA33" s="92">
        <v>4235</v>
      </c>
      <c r="AB33" s="92">
        <v>564.30999999999995</v>
      </c>
      <c r="AC33" s="92">
        <v>1069.1400000000001</v>
      </c>
      <c r="AD33" s="92">
        <v>147</v>
      </c>
      <c r="AE33" s="92">
        <v>360</v>
      </c>
      <c r="AF33" s="69">
        <v>-3090.01</v>
      </c>
      <c r="AG33" s="92">
        <v>-7984.75</v>
      </c>
      <c r="AH33" s="9"/>
      <c r="AI33" s="9"/>
      <c r="AJ33" s="9"/>
      <c r="AK33" s="9"/>
      <c r="AL33" s="92">
        <v>615.70000000000005</v>
      </c>
      <c r="AM33" s="92">
        <v>1649.15</v>
      </c>
      <c r="AN33" s="92">
        <v>-5</v>
      </c>
      <c r="AO33" s="92">
        <v>-12</v>
      </c>
      <c r="AP33" s="92">
        <v>40</v>
      </c>
      <c r="AQ33" s="92">
        <v>179</v>
      </c>
      <c r="AR33" s="9">
        <v>6719</v>
      </c>
      <c r="AS33" s="9">
        <v>15918</v>
      </c>
      <c r="AT33" s="92">
        <v>1160</v>
      </c>
      <c r="AU33" s="92">
        <v>4636</v>
      </c>
      <c r="AV33" s="92">
        <v>4108</v>
      </c>
      <c r="AW33" s="92">
        <v>9614</v>
      </c>
      <c r="AX33" s="92">
        <v>160</v>
      </c>
      <c r="AY33" s="92">
        <v>424</v>
      </c>
      <c r="AZ33" s="9"/>
      <c r="BA33" s="9"/>
      <c r="BB33" s="92">
        <v>10761</v>
      </c>
      <c r="BC33" s="92">
        <v>14870</v>
      </c>
      <c r="BD33" s="92">
        <v>951</v>
      </c>
      <c r="BE33" s="92">
        <v>2394</v>
      </c>
      <c r="BF33" s="92">
        <v>455</v>
      </c>
      <c r="BG33" s="92">
        <v>1081</v>
      </c>
      <c r="BH33" s="92">
        <v>593</v>
      </c>
      <c r="BI33" s="92">
        <v>1510</v>
      </c>
      <c r="BJ33" s="92">
        <v>683</v>
      </c>
      <c r="BK33" s="92">
        <v>4427</v>
      </c>
      <c r="BL33" s="68">
        <f t="shared" si="4"/>
        <v>25664</v>
      </c>
      <c r="BM33" s="68">
        <f t="shared" si="5"/>
        <v>52100.56</v>
      </c>
    </row>
    <row r="34" spans="1:65" s="7" customFormat="1" x14ac:dyDescent="0.25">
      <c r="A34" s="10" t="s">
        <v>190</v>
      </c>
      <c r="B34" s="10">
        <v>-1237</v>
      </c>
      <c r="C34" s="10">
        <v>-2830</v>
      </c>
      <c r="D34" s="10"/>
      <c r="E34" s="10"/>
      <c r="F34" s="10"/>
      <c r="G34" s="10"/>
      <c r="H34" s="10">
        <v>7287</v>
      </c>
      <c r="I34" s="10">
        <v>18190</v>
      </c>
      <c r="J34" s="10"/>
      <c r="K34" s="10"/>
      <c r="L34" s="10">
        <v>2146</v>
      </c>
      <c r="M34" s="10">
        <v>4491</v>
      </c>
      <c r="N34" s="10"/>
      <c r="O34" s="10"/>
      <c r="P34" s="10">
        <v>62.86</v>
      </c>
      <c r="Q34" s="10">
        <v>725.5</v>
      </c>
      <c r="R34" s="10">
        <v>-115.24</v>
      </c>
      <c r="S34" s="10">
        <v>5638.65</v>
      </c>
      <c r="T34" s="10">
        <v>4025</v>
      </c>
      <c r="U34" s="10">
        <v>9606</v>
      </c>
      <c r="V34" s="10">
        <v>-335</v>
      </c>
      <c r="W34" s="10">
        <v>1886</v>
      </c>
      <c r="X34" s="10">
        <v>22773</v>
      </c>
      <c r="Y34" s="10">
        <v>51761</v>
      </c>
      <c r="Z34" s="10">
        <v>8035</v>
      </c>
      <c r="AA34" s="10">
        <v>20806</v>
      </c>
      <c r="AB34" s="10">
        <v>895.19</v>
      </c>
      <c r="AC34" s="10">
        <v>1570.67</v>
      </c>
      <c r="AD34" s="10">
        <v>2802</v>
      </c>
      <c r="AE34" s="10">
        <v>6935</v>
      </c>
      <c r="AF34" s="10">
        <v>-368.72</v>
      </c>
      <c r="AG34" s="10">
        <v>-1771.13</v>
      </c>
      <c r="AH34" s="10"/>
      <c r="AI34" s="10"/>
      <c r="AJ34" s="10"/>
      <c r="AK34" s="10"/>
      <c r="AL34" s="10">
        <v>9396.25</v>
      </c>
      <c r="AM34" s="10">
        <v>22227.43</v>
      </c>
      <c r="AN34" s="10">
        <v>30</v>
      </c>
      <c r="AO34" s="10">
        <v>63</v>
      </c>
      <c r="AP34" s="10">
        <v>844</v>
      </c>
      <c r="AQ34" s="10">
        <v>2353</v>
      </c>
      <c r="AR34" s="10">
        <v>2985</v>
      </c>
      <c r="AS34" s="10">
        <v>7534</v>
      </c>
      <c r="AT34" s="10">
        <v>4419</v>
      </c>
      <c r="AU34" s="10">
        <v>9610</v>
      </c>
      <c r="AV34" s="10">
        <v>3117</v>
      </c>
      <c r="AW34" s="10">
        <v>6804</v>
      </c>
      <c r="AX34" s="10">
        <v>2198</v>
      </c>
      <c r="AY34" s="10">
        <v>5841</v>
      </c>
      <c r="AZ34" s="10"/>
      <c r="BA34" s="10"/>
      <c r="BB34" s="10">
        <v>2093</v>
      </c>
      <c r="BC34" s="10">
        <v>16224</v>
      </c>
      <c r="BD34" s="10">
        <v>22802</v>
      </c>
      <c r="BE34" s="10">
        <v>57012</v>
      </c>
      <c r="BF34" s="10">
        <v>7496</v>
      </c>
      <c r="BG34" s="10">
        <v>18985</v>
      </c>
      <c r="BH34" s="10">
        <v>10587</v>
      </c>
      <c r="BI34" s="10">
        <v>25295</v>
      </c>
      <c r="BJ34" s="10">
        <v>3663</v>
      </c>
      <c r="BK34" s="10">
        <v>5370</v>
      </c>
      <c r="BL34" s="63">
        <f t="shared" si="4"/>
        <v>115600.34</v>
      </c>
      <c r="BM34" s="63">
        <f t="shared" si="5"/>
        <v>294327.12</v>
      </c>
    </row>
    <row r="35" spans="1:65" x14ac:dyDescent="0.25">
      <c r="A35" s="22"/>
    </row>
    <row r="36" spans="1:65" x14ac:dyDescent="0.25">
      <c r="A36" s="23" t="s">
        <v>185</v>
      </c>
    </row>
    <row r="37" spans="1:65" x14ac:dyDescent="0.25">
      <c r="A37" s="3" t="s">
        <v>0</v>
      </c>
      <c r="B37" s="153" t="s">
        <v>1</v>
      </c>
      <c r="C37" s="154"/>
      <c r="D37" s="153" t="s">
        <v>234</v>
      </c>
      <c r="E37" s="154"/>
      <c r="F37" s="153" t="s">
        <v>2</v>
      </c>
      <c r="G37" s="154"/>
      <c r="H37" s="153" t="s">
        <v>3</v>
      </c>
      <c r="I37" s="154"/>
      <c r="J37" s="153" t="s">
        <v>243</v>
      </c>
      <c r="K37" s="154"/>
      <c r="L37" s="153" t="s">
        <v>235</v>
      </c>
      <c r="M37" s="154"/>
      <c r="N37" s="153" t="s">
        <v>5</v>
      </c>
      <c r="O37" s="154"/>
      <c r="P37" s="153" t="s">
        <v>4</v>
      </c>
      <c r="Q37" s="154"/>
      <c r="R37" s="153" t="s">
        <v>6</v>
      </c>
      <c r="S37" s="154"/>
      <c r="T37" s="153" t="s">
        <v>246</v>
      </c>
      <c r="U37" s="154"/>
      <c r="V37" s="153" t="s">
        <v>7</v>
      </c>
      <c r="W37" s="154"/>
      <c r="X37" s="153" t="s">
        <v>8</v>
      </c>
      <c r="Y37" s="154"/>
      <c r="Z37" s="153" t="s">
        <v>9</v>
      </c>
      <c r="AA37" s="154"/>
      <c r="AB37" s="153" t="s">
        <v>242</v>
      </c>
      <c r="AC37" s="154"/>
      <c r="AD37" s="153" t="s">
        <v>10</v>
      </c>
      <c r="AE37" s="154"/>
      <c r="AF37" s="153" t="s">
        <v>11</v>
      </c>
      <c r="AG37" s="154"/>
      <c r="AH37" s="153" t="s">
        <v>236</v>
      </c>
      <c r="AI37" s="154"/>
      <c r="AJ37" s="153" t="s">
        <v>245</v>
      </c>
      <c r="AK37" s="154"/>
      <c r="AL37" s="153" t="s">
        <v>12</v>
      </c>
      <c r="AM37" s="154"/>
      <c r="AN37" s="153" t="s">
        <v>237</v>
      </c>
      <c r="AO37" s="154"/>
      <c r="AP37" s="153" t="s">
        <v>238</v>
      </c>
      <c r="AQ37" s="154"/>
      <c r="AR37" s="153" t="s">
        <v>241</v>
      </c>
      <c r="AS37" s="154"/>
      <c r="AT37" s="153" t="s">
        <v>13</v>
      </c>
      <c r="AU37" s="154"/>
      <c r="AV37" s="153" t="s">
        <v>14</v>
      </c>
      <c r="AW37" s="154"/>
      <c r="AX37" s="153" t="s">
        <v>15</v>
      </c>
      <c r="AY37" s="154"/>
      <c r="AZ37" s="153" t="s">
        <v>16</v>
      </c>
      <c r="BA37" s="154"/>
      <c r="BB37" s="153" t="s">
        <v>17</v>
      </c>
      <c r="BC37" s="154"/>
      <c r="BD37" s="153" t="s">
        <v>239</v>
      </c>
      <c r="BE37" s="154"/>
      <c r="BF37" s="153" t="s">
        <v>240</v>
      </c>
      <c r="BG37" s="154"/>
      <c r="BH37" s="153" t="s">
        <v>18</v>
      </c>
      <c r="BI37" s="154"/>
      <c r="BJ37" s="153" t="s">
        <v>19</v>
      </c>
      <c r="BK37" s="154"/>
      <c r="BL37" s="155" t="s">
        <v>20</v>
      </c>
      <c r="BM37" s="156"/>
    </row>
    <row r="38" spans="1:65" ht="30" x14ac:dyDescent="0.25">
      <c r="A38" s="3"/>
      <c r="B38" s="53" t="s">
        <v>303</v>
      </c>
      <c r="C38" s="54" t="s">
        <v>302</v>
      </c>
      <c r="D38" s="53" t="s">
        <v>303</v>
      </c>
      <c r="E38" s="54" t="s">
        <v>302</v>
      </c>
      <c r="F38" s="53" t="s">
        <v>303</v>
      </c>
      <c r="G38" s="54" t="s">
        <v>302</v>
      </c>
      <c r="H38" s="53" t="s">
        <v>303</v>
      </c>
      <c r="I38" s="54" t="s">
        <v>302</v>
      </c>
      <c r="J38" s="53" t="s">
        <v>303</v>
      </c>
      <c r="K38" s="54" t="s">
        <v>302</v>
      </c>
      <c r="L38" s="53" t="s">
        <v>303</v>
      </c>
      <c r="M38" s="54" t="s">
        <v>302</v>
      </c>
      <c r="N38" s="53" t="s">
        <v>303</v>
      </c>
      <c r="O38" s="54" t="s">
        <v>302</v>
      </c>
      <c r="P38" s="53" t="s">
        <v>303</v>
      </c>
      <c r="Q38" s="54" t="s">
        <v>302</v>
      </c>
      <c r="R38" s="53" t="s">
        <v>303</v>
      </c>
      <c r="S38" s="54" t="s">
        <v>302</v>
      </c>
      <c r="T38" s="53" t="s">
        <v>303</v>
      </c>
      <c r="U38" s="54" t="s">
        <v>302</v>
      </c>
      <c r="V38" s="53" t="s">
        <v>303</v>
      </c>
      <c r="W38" s="54" t="s">
        <v>302</v>
      </c>
      <c r="X38" s="53" t="s">
        <v>303</v>
      </c>
      <c r="Y38" s="54" t="s">
        <v>302</v>
      </c>
      <c r="Z38" s="53" t="s">
        <v>303</v>
      </c>
      <c r="AA38" s="54" t="s">
        <v>302</v>
      </c>
      <c r="AB38" s="53" t="s">
        <v>303</v>
      </c>
      <c r="AC38" s="54" t="s">
        <v>302</v>
      </c>
      <c r="AD38" s="53" t="s">
        <v>303</v>
      </c>
      <c r="AE38" s="54" t="s">
        <v>302</v>
      </c>
      <c r="AF38" s="53" t="s">
        <v>303</v>
      </c>
      <c r="AG38" s="54" t="s">
        <v>302</v>
      </c>
      <c r="AH38" s="53" t="s">
        <v>303</v>
      </c>
      <c r="AI38" s="54" t="s">
        <v>302</v>
      </c>
      <c r="AJ38" s="53" t="s">
        <v>303</v>
      </c>
      <c r="AK38" s="54" t="s">
        <v>302</v>
      </c>
      <c r="AL38" s="53" t="s">
        <v>303</v>
      </c>
      <c r="AM38" s="54" t="s">
        <v>302</v>
      </c>
      <c r="AN38" s="53" t="s">
        <v>303</v>
      </c>
      <c r="AO38" s="54" t="s">
        <v>302</v>
      </c>
      <c r="AP38" s="53" t="s">
        <v>303</v>
      </c>
      <c r="AQ38" s="54" t="s">
        <v>302</v>
      </c>
      <c r="AR38" s="53" t="s">
        <v>303</v>
      </c>
      <c r="AS38" s="54" t="s">
        <v>302</v>
      </c>
      <c r="AT38" s="53" t="s">
        <v>303</v>
      </c>
      <c r="AU38" s="54" t="s">
        <v>302</v>
      </c>
      <c r="AV38" s="53" t="s">
        <v>303</v>
      </c>
      <c r="AW38" s="54" t="s">
        <v>302</v>
      </c>
      <c r="AX38" s="53" t="s">
        <v>303</v>
      </c>
      <c r="AY38" s="54" t="s">
        <v>302</v>
      </c>
      <c r="AZ38" s="53" t="s">
        <v>303</v>
      </c>
      <c r="BA38" s="54" t="s">
        <v>302</v>
      </c>
      <c r="BB38" s="53" t="s">
        <v>303</v>
      </c>
      <c r="BC38" s="54" t="s">
        <v>302</v>
      </c>
      <c r="BD38" s="53" t="s">
        <v>303</v>
      </c>
      <c r="BE38" s="54" t="s">
        <v>302</v>
      </c>
      <c r="BF38" s="53" t="s">
        <v>303</v>
      </c>
      <c r="BG38" s="54" t="s">
        <v>302</v>
      </c>
      <c r="BH38" s="53" t="s">
        <v>303</v>
      </c>
      <c r="BI38" s="54" t="s">
        <v>302</v>
      </c>
      <c r="BJ38" s="53" t="s">
        <v>303</v>
      </c>
      <c r="BK38" s="54" t="s">
        <v>302</v>
      </c>
      <c r="BL38" s="105" t="s">
        <v>303</v>
      </c>
      <c r="BM38" s="106" t="s">
        <v>302</v>
      </c>
    </row>
    <row r="39" spans="1:65" x14ac:dyDescent="0.25">
      <c r="A39" s="24" t="s">
        <v>292</v>
      </c>
      <c r="B39" s="9"/>
      <c r="C39" s="9"/>
      <c r="D39" s="9"/>
      <c r="E39" s="9"/>
      <c r="F39" s="9"/>
      <c r="G39" s="9"/>
      <c r="H39" s="92">
        <v>353</v>
      </c>
      <c r="I39" s="92">
        <v>1111</v>
      </c>
      <c r="J39" s="76"/>
      <c r="K39" s="76"/>
      <c r="L39" s="92">
        <v>65</v>
      </c>
      <c r="M39" s="92">
        <v>179</v>
      </c>
      <c r="N39" s="76"/>
      <c r="O39" s="76"/>
      <c r="P39" s="92">
        <v>1.65</v>
      </c>
      <c r="Q39" s="92">
        <v>2.91</v>
      </c>
      <c r="R39" s="92">
        <v>146.68</v>
      </c>
      <c r="S39" s="92">
        <v>429.09</v>
      </c>
      <c r="T39" s="92">
        <v>74</v>
      </c>
      <c r="U39" s="92">
        <v>164</v>
      </c>
      <c r="V39" s="92">
        <v>257</v>
      </c>
      <c r="W39" s="92">
        <v>798</v>
      </c>
      <c r="X39" s="92">
        <v>747</v>
      </c>
      <c r="Y39" s="92">
        <v>2384</v>
      </c>
      <c r="Z39" s="92">
        <v>305</v>
      </c>
      <c r="AA39" s="92">
        <v>896</v>
      </c>
      <c r="AB39" s="92">
        <v>12.02</v>
      </c>
      <c r="AC39" s="92">
        <v>24.36</v>
      </c>
      <c r="AD39" s="92">
        <v>88</v>
      </c>
      <c r="AE39" s="92">
        <v>280</v>
      </c>
      <c r="AF39" s="69">
        <v>7.19</v>
      </c>
      <c r="AG39" s="92">
        <v>34.020000000000003</v>
      </c>
      <c r="AH39" s="9"/>
      <c r="AI39" s="9"/>
      <c r="AJ39" s="9"/>
      <c r="AK39" s="9"/>
      <c r="AL39" s="9"/>
      <c r="AM39" s="9"/>
      <c r="AN39" s="76"/>
      <c r="AO39" s="76"/>
      <c r="AP39" s="92">
        <v>14</v>
      </c>
      <c r="AQ39" s="92">
        <v>38</v>
      </c>
      <c r="AR39" s="9">
        <v>219</v>
      </c>
      <c r="AS39" s="9">
        <v>843</v>
      </c>
      <c r="AT39" s="92">
        <v>126</v>
      </c>
      <c r="AU39" s="92">
        <v>455</v>
      </c>
      <c r="AV39" s="92">
        <v>82</v>
      </c>
      <c r="AW39" s="92">
        <v>268</v>
      </c>
      <c r="AX39" s="92">
        <v>24</v>
      </c>
      <c r="AY39" s="92">
        <v>68</v>
      </c>
      <c r="AZ39" s="9"/>
      <c r="BA39" s="9"/>
      <c r="BB39" s="92">
        <v>237</v>
      </c>
      <c r="BC39" s="92">
        <v>690</v>
      </c>
      <c r="BD39" s="76"/>
      <c r="BE39" s="76"/>
      <c r="BF39" s="92">
        <v>551</v>
      </c>
      <c r="BG39" s="92">
        <v>1688</v>
      </c>
      <c r="BH39" s="9"/>
      <c r="BI39" s="9"/>
      <c r="BJ39" s="92">
        <v>26</v>
      </c>
      <c r="BK39" s="92">
        <v>52</v>
      </c>
      <c r="BL39" s="68">
        <f t="shared" ref="BL39:BL45" si="6">SUM(B39+D39+F39+H39+J39+L39+N39+P39+R39+T39+V39+X39+Z39+AB39+AD39+AF39+AH39+AJ39+AL39+AN39+AP39+AR39+AT39+AV39+AX39+AZ39+BB39+BD39+BF39+BH39+BJ39)</f>
        <v>3335.54</v>
      </c>
      <c r="BM39" s="68">
        <f t="shared" ref="BM39:BM45" si="7">SUM(C39+E39+G39+I39+K39+M39+O39+Q39+S39+U39+W39+Y39+AA39+AC39+AE39+AG39+AI39+AK39+AM39+AO39+AQ39+AS39+AU39+AW39+AY39+BA39+BC39+BE39+BG39+BI39+BK39)</f>
        <v>10404.380000000001</v>
      </c>
    </row>
    <row r="40" spans="1:65" s="71" customFormat="1" x14ac:dyDescent="0.25">
      <c r="A40" s="24" t="s">
        <v>293</v>
      </c>
      <c r="B40" s="92"/>
      <c r="C40" s="92"/>
      <c r="D40" s="92"/>
      <c r="E40" s="92"/>
      <c r="F40" s="92"/>
      <c r="G40" s="92"/>
      <c r="H40" s="92">
        <v>177</v>
      </c>
      <c r="I40" s="92">
        <v>356</v>
      </c>
      <c r="J40" s="92"/>
      <c r="K40" s="92"/>
      <c r="L40" s="92">
        <v>1</v>
      </c>
      <c r="M40" s="92">
        <v>8</v>
      </c>
      <c r="N40" s="92"/>
      <c r="O40" s="92"/>
      <c r="P40" s="92">
        <v>0.04</v>
      </c>
      <c r="Q40" s="92">
        <v>0.05</v>
      </c>
      <c r="R40" s="92"/>
      <c r="S40" s="92"/>
      <c r="T40" s="92">
        <v>24</v>
      </c>
      <c r="U40" s="92">
        <v>45</v>
      </c>
      <c r="V40" s="92">
        <v>81</v>
      </c>
      <c r="W40" s="92">
        <v>240</v>
      </c>
      <c r="X40" s="92">
        <v>200</v>
      </c>
      <c r="Y40" s="92">
        <v>509</v>
      </c>
      <c r="Z40" s="92">
        <v>143</v>
      </c>
      <c r="AA40" s="92">
        <v>362</v>
      </c>
      <c r="AB40" s="92">
        <v>3.59</v>
      </c>
      <c r="AC40" s="92">
        <v>6.71</v>
      </c>
      <c r="AD40" s="92">
        <v>18</v>
      </c>
      <c r="AE40" s="92">
        <v>43</v>
      </c>
      <c r="AF40" s="69">
        <v>3.01</v>
      </c>
      <c r="AG40" s="92">
        <v>10.98</v>
      </c>
      <c r="AH40" s="92"/>
      <c r="AI40" s="92"/>
      <c r="AJ40" s="92"/>
      <c r="AK40" s="92"/>
      <c r="AL40" s="92"/>
      <c r="AM40" s="92"/>
      <c r="AN40" s="92"/>
      <c r="AO40" s="92"/>
      <c r="AP40" s="92">
        <v>8</v>
      </c>
      <c r="AQ40" s="92">
        <v>18</v>
      </c>
      <c r="AR40" s="92">
        <v>55</v>
      </c>
      <c r="AS40" s="92">
        <v>176</v>
      </c>
      <c r="AT40" s="92">
        <v>32</v>
      </c>
      <c r="AU40" s="92">
        <v>112</v>
      </c>
      <c r="AV40" s="92">
        <v>30</v>
      </c>
      <c r="AW40" s="92">
        <v>87</v>
      </c>
      <c r="AX40" s="92">
        <v>4</v>
      </c>
      <c r="AY40" s="92">
        <v>12</v>
      </c>
      <c r="AZ40" s="92"/>
      <c r="BA40" s="92"/>
      <c r="BB40" s="92">
        <v>26</v>
      </c>
      <c r="BC40" s="92">
        <v>91</v>
      </c>
      <c r="BD40" s="92"/>
      <c r="BE40" s="92"/>
      <c r="BF40" s="92">
        <v>0</v>
      </c>
      <c r="BG40" s="92"/>
      <c r="BH40" s="92"/>
      <c r="BI40" s="92"/>
      <c r="BJ40" s="92">
        <v>0</v>
      </c>
      <c r="BK40" s="92">
        <v>4</v>
      </c>
      <c r="BL40" s="68">
        <f t="shared" si="6"/>
        <v>805.64</v>
      </c>
      <c r="BM40" s="68">
        <f t="shared" si="7"/>
        <v>2080.7399999999998</v>
      </c>
    </row>
    <row r="41" spans="1:65" s="71" customFormat="1" x14ac:dyDescent="0.25">
      <c r="A41" s="24" t="s">
        <v>294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>
        <v>0.26</v>
      </c>
      <c r="S41" s="92">
        <v>22.92</v>
      </c>
      <c r="T41" s="92"/>
      <c r="U41" s="92"/>
      <c r="V41" s="92"/>
      <c r="W41" s="92"/>
      <c r="X41" s="92">
        <v>0</v>
      </c>
      <c r="Y41" s="92">
        <v>0</v>
      </c>
      <c r="Z41" s="92"/>
      <c r="AA41" s="92"/>
      <c r="AB41" s="92"/>
      <c r="AC41" s="92"/>
      <c r="AD41" s="92"/>
      <c r="AE41" s="92"/>
      <c r="AF41" s="69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>
        <v>0</v>
      </c>
      <c r="AW41" s="92">
        <v>0</v>
      </c>
      <c r="AX41" s="92"/>
      <c r="AY41" s="92"/>
      <c r="AZ41" s="92"/>
      <c r="BA41" s="92"/>
      <c r="BB41" s="92"/>
      <c r="BC41" s="92"/>
      <c r="BD41" s="92"/>
      <c r="BE41" s="92"/>
      <c r="BF41" s="92">
        <v>0</v>
      </c>
      <c r="BG41" s="92"/>
      <c r="BH41" s="92"/>
      <c r="BI41" s="92"/>
      <c r="BJ41" s="92"/>
      <c r="BK41" s="92"/>
      <c r="BL41" s="68">
        <f t="shared" si="6"/>
        <v>0.26</v>
      </c>
      <c r="BM41" s="68">
        <f t="shared" si="7"/>
        <v>22.92</v>
      </c>
    </row>
    <row r="42" spans="1:65" s="7" customFormat="1" x14ac:dyDescent="0.25">
      <c r="A42" s="10" t="s">
        <v>295</v>
      </c>
      <c r="B42" s="10"/>
      <c r="C42" s="10"/>
      <c r="D42" s="10"/>
      <c r="E42" s="10"/>
      <c r="F42" s="10"/>
      <c r="G42" s="10"/>
      <c r="H42" s="10">
        <v>530</v>
      </c>
      <c r="I42" s="10">
        <v>1468</v>
      </c>
      <c r="J42" s="10"/>
      <c r="K42" s="10"/>
      <c r="L42" s="10">
        <v>66</v>
      </c>
      <c r="M42" s="10">
        <v>187</v>
      </c>
      <c r="N42" s="10"/>
      <c r="O42" s="10"/>
      <c r="P42" s="10">
        <v>1.69</v>
      </c>
      <c r="Q42" s="10">
        <v>2.96</v>
      </c>
      <c r="R42" s="10">
        <v>146.94</v>
      </c>
      <c r="S42" s="10">
        <v>452.01</v>
      </c>
      <c r="T42" s="10">
        <v>98</v>
      </c>
      <c r="U42" s="10">
        <v>209</v>
      </c>
      <c r="V42" s="10">
        <v>337</v>
      </c>
      <c r="W42" s="10">
        <v>1038</v>
      </c>
      <c r="X42" s="10">
        <v>947</v>
      </c>
      <c r="Y42" s="10">
        <v>2893</v>
      </c>
      <c r="Z42" s="10">
        <v>448</v>
      </c>
      <c r="AA42" s="10">
        <v>1258</v>
      </c>
      <c r="AB42" s="10">
        <v>15.61</v>
      </c>
      <c r="AC42" s="10">
        <v>31.07</v>
      </c>
      <c r="AD42" s="10">
        <v>106</v>
      </c>
      <c r="AE42" s="10">
        <v>323</v>
      </c>
      <c r="AF42" s="10">
        <v>10.199999999999999</v>
      </c>
      <c r="AG42" s="10">
        <v>45</v>
      </c>
      <c r="AH42" s="10"/>
      <c r="AI42" s="10"/>
      <c r="AJ42" s="10"/>
      <c r="AK42" s="10"/>
      <c r="AL42" s="10">
        <v>119.87</v>
      </c>
      <c r="AM42" s="10">
        <v>298.12</v>
      </c>
      <c r="AN42" s="10"/>
      <c r="AO42" s="10"/>
      <c r="AP42" s="10">
        <v>22</v>
      </c>
      <c r="AQ42" s="10">
        <v>56</v>
      </c>
      <c r="AR42" s="10">
        <v>274</v>
      </c>
      <c r="AS42" s="10">
        <v>1019</v>
      </c>
      <c r="AT42" s="10">
        <v>158</v>
      </c>
      <c r="AU42" s="10">
        <v>567</v>
      </c>
      <c r="AV42" s="10">
        <v>112</v>
      </c>
      <c r="AW42" s="10">
        <v>355</v>
      </c>
      <c r="AX42" s="10">
        <v>28</v>
      </c>
      <c r="AY42" s="10">
        <v>81</v>
      </c>
      <c r="AZ42" s="10"/>
      <c r="BA42" s="10"/>
      <c r="BB42" s="10">
        <v>263</v>
      </c>
      <c r="BC42" s="10">
        <v>781</v>
      </c>
      <c r="BD42" s="10">
        <v>1983</v>
      </c>
      <c r="BE42" s="10">
        <v>6335</v>
      </c>
      <c r="BF42" s="10">
        <v>551</v>
      </c>
      <c r="BG42" s="10">
        <v>1688</v>
      </c>
      <c r="BH42" s="10">
        <v>1152</v>
      </c>
      <c r="BI42" s="10">
        <v>3030</v>
      </c>
      <c r="BJ42" s="10">
        <v>26</v>
      </c>
      <c r="BK42" s="10">
        <v>56</v>
      </c>
      <c r="BL42" s="63">
        <f t="shared" si="6"/>
        <v>7395.3099999999995</v>
      </c>
      <c r="BM42" s="63">
        <f t="shared" si="7"/>
        <v>22173.16</v>
      </c>
    </row>
    <row r="43" spans="1:65" x14ac:dyDescent="0.25">
      <c r="A43" s="24" t="s">
        <v>296</v>
      </c>
      <c r="B43" s="9"/>
      <c r="C43" s="9"/>
      <c r="D43" s="9"/>
      <c r="E43" s="9"/>
      <c r="F43" s="9"/>
      <c r="G43" s="9"/>
      <c r="H43" s="92">
        <v>39</v>
      </c>
      <c r="I43" s="92">
        <v>88</v>
      </c>
      <c r="J43" s="76"/>
      <c r="K43" s="76"/>
      <c r="L43" s="92">
        <v>1</v>
      </c>
      <c r="M43" s="92">
        <v>3</v>
      </c>
      <c r="N43" s="76"/>
      <c r="O43" s="76"/>
      <c r="P43" s="92">
        <v>1.22</v>
      </c>
      <c r="Q43" s="92">
        <v>4.25</v>
      </c>
      <c r="R43" s="92">
        <v>27.88</v>
      </c>
      <c r="S43" s="92">
        <v>65.02</v>
      </c>
      <c r="T43" s="92">
        <v>13</v>
      </c>
      <c r="U43" s="92">
        <v>39</v>
      </c>
      <c r="V43" s="92">
        <v>16</v>
      </c>
      <c r="W43" s="92">
        <v>46</v>
      </c>
      <c r="X43" s="92">
        <v>96</v>
      </c>
      <c r="Y43" s="92">
        <v>308</v>
      </c>
      <c r="Z43" s="92">
        <v>10</v>
      </c>
      <c r="AA43" s="92">
        <v>35</v>
      </c>
      <c r="AB43" s="92">
        <v>0.23</v>
      </c>
      <c r="AC43" s="92">
        <v>0.8</v>
      </c>
      <c r="AD43" s="92">
        <v>1</v>
      </c>
      <c r="AE43" s="92">
        <v>3</v>
      </c>
      <c r="AF43" s="69">
        <v>8.23</v>
      </c>
      <c r="AG43" s="92">
        <v>18.95</v>
      </c>
      <c r="AH43" s="9"/>
      <c r="AI43" s="9"/>
      <c r="AJ43" s="9"/>
      <c r="AK43" s="9"/>
      <c r="AL43" s="92">
        <v>261.72000000000003</v>
      </c>
      <c r="AM43" s="92">
        <v>1081.02</v>
      </c>
      <c r="AN43" s="76"/>
      <c r="AO43" s="76"/>
      <c r="AP43" s="92">
        <v>-3</v>
      </c>
      <c r="AQ43" s="92">
        <v>18</v>
      </c>
      <c r="AR43" s="9">
        <v>13</v>
      </c>
      <c r="AS43" s="9">
        <v>29</v>
      </c>
      <c r="AT43" s="92">
        <v>17</v>
      </c>
      <c r="AU43" s="92">
        <v>52</v>
      </c>
      <c r="AV43" s="92">
        <v>2</v>
      </c>
      <c r="AW43" s="92">
        <v>7</v>
      </c>
      <c r="AX43" s="92">
        <v>2</v>
      </c>
      <c r="AY43" s="92">
        <v>8</v>
      </c>
      <c r="AZ43" s="9"/>
      <c r="BA43" s="9"/>
      <c r="BB43" s="92">
        <v>-9</v>
      </c>
      <c r="BC43" s="92">
        <v>31</v>
      </c>
      <c r="BD43" s="92">
        <v>203</v>
      </c>
      <c r="BE43" s="92">
        <v>743</v>
      </c>
      <c r="BF43" s="92">
        <v>843</v>
      </c>
      <c r="BG43" s="92">
        <v>1425</v>
      </c>
      <c r="BH43" s="92">
        <v>258</v>
      </c>
      <c r="BI43" s="92">
        <v>683</v>
      </c>
      <c r="BJ43" s="92">
        <v>1</v>
      </c>
      <c r="BK43" s="92">
        <v>4</v>
      </c>
      <c r="BL43" s="68">
        <f t="shared" si="6"/>
        <v>1802.28</v>
      </c>
      <c r="BM43" s="68">
        <f t="shared" si="7"/>
        <v>4692.04</v>
      </c>
    </row>
    <row r="44" spans="1:65" x14ac:dyDescent="0.25">
      <c r="A44" s="24" t="s">
        <v>297</v>
      </c>
      <c r="B44" s="9"/>
      <c r="C44" s="9"/>
      <c r="D44" s="9"/>
      <c r="E44" s="9"/>
      <c r="F44" s="9"/>
      <c r="G44" s="9"/>
      <c r="H44" s="92">
        <v>-930</v>
      </c>
      <c r="I44" s="92">
        <v>-2743</v>
      </c>
      <c r="J44" s="76"/>
      <c r="K44" s="76"/>
      <c r="L44" s="92">
        <v>88</v>
      </c>
      <c r="M44" s="92">
        <v>272</v>
      </c>
      <c r="N44" s="76"/>
      <c r="O44" s="76"/>
      <c r="P44" s="92">
        <v>19.489999999999998</v>
      </c>
      <c r="Q44" s="92">
        <v>55.47</v>
      </c>
      <c r="R44" s="92">
        <v>284.86</v>
      </c>
      <c r="S44" s="92">
        <v>908.58</v>
      </c>
      <c r="T44" s="92">
        <v>190</v>
      </c>
      <c r="U44" s="92">
        <v>-443</v>
      </c>
      <c r="V44" s="92">
        <v>-613</v>
      </c>
      <c r="W44" s="92">
        <v>-2227</v>
      </c>
      <c r="X44" s="92">
        <v>1594</v>
      </c>
      <c r="Y44" s="92">
        <v>4005</v>
      </c>
      <c r="Z44" s="92">
        <v>304</v>
      </c>
      <c r="AA44" s="92">
        <v>925</v>
      </c>
      <c r="AB44" s="92">
        <v>31.8</v>
      </c>
      <c r="AC44" s="92">
        <v>51.22</v>
      </c>
      <c r="AD44" s="92">
        <v>121</v>
      </c>
      <c r="AE44" s="92">
        <v>380</v>
      </c>
      <c r="AF44" s="69">
        <v>-21.17</v>
      </c>
      <c r="AG44" s="92">
        <v>-66.48</v>
      </c>
      <c r="AH44" s="9"/>
      <c r="AI44" s="9"/>
      <c r="AJ44" s="9"/>
      <c r="AK44" s="9"/>
      <c r="AL44" s="92">
        <v>663</v>
      </c>
      <c r="AM44" s="92">
        <v>1268.58</v>
      </c>
      <c r="AN44" s="76"/>
      <c r="AO44" s="76"/>
      <c r="AP44" s="92">
        <v>11</v>
      </c>
      <c r="AQ44" s="92">
        <v>47</v>
      </c>
      <c r="AR44" s="9">
        <v>163</v>
      </c>
      <c r="AS44" s="9">
        <v>803</v>
      </c>
      <c r="AT44" s="92">
        <v>351</v>
      </c>
      <c r="AU44" s="92">
        <v>1176</v>
      </c>
      <c r="AV44" s="92">
        <v>181</v>
      </c>
      <c r="AW44" s="92">
        <v>806</v>
      </c>
      <c r="AX44" s="92">
        <v>28</v>
      </c>
      <c r="AY44" s="92">
        <v>80</v>
      </c>
      <c r="AZ44" s="9"/>
      <c r="BA44" s="9"/>
      <c r="BB44" s="92">
        <v>1054</v>
      </c>
      <c r="BC44" s="92">
        <v>2533</v>
      </c>
      <c r="BD44" s="92">
        <v>1421</v>
      </c>
      <c r="BE44" s="92">
        <v>4711</v>
      </c>
      <c r="BF44" s="92">
        <v>397</v>
      </c>
      <c r="BG44" s="92">
        <v>1019</v>
      </c>
      <c r="BH44" s="92">
        <v>320</v>
      </c>
      <c r="BI44" s="92">
        <v>830</v>
      </c>
      <c r="BJ44" s="92">
        <v>66</v>
      </c>
      <c r="BK44" s="92">
        <v>151</v>
      </c>
      <c r="BL44" s="68">
        <f t="shared" si="6"/>
        <v>5723.98</v>
      </c>
      <c r="BM44" s="68">
        <f t="shared" si="7"/>
        <v>14542.369999999999</v>
      </c>
    </row>
    <row r="45" spans="1:65" s="7" customFormat="1" x14ac:dyDescent="0.25">
      <c r="A45" s="10" t="s">
        <v>190</v>
      </c>
      <c r="B45" s="10"/>
      <c r="C45" s="10"/>
      <c r="D45" s="10"/>
      <c r="E45" s="10"/>
      <c r="F45" s="10"/>
      <c r="G45" s="10"/>
      <c r="H45" s="10">
        <v>-361</v>
      </c>
      <c r="I45" s="10">
        <v>-1188</v>
      </c>
      <c r="J45" s="10"/>
      <c r="K45" s="10"/>
      <c r="L45" s="10">
        <v>-21</v>
      </c>
      <c r="M45" s="10">
        <v>-82</v>
      </c>
      <c r="N45" s="10"/>
      <c r="O45" s="10"/>
      <c r="P45" s="10">
        <v>-16.579999999999998</v>
      </c>
      <c r="Q45" s="10">
        <v>-48.26</v>
      </c>
      <c r="R45" s="10">
        <v>-110.03</v>
      </c>
      <c r="S45" s="10">
        <v>-391.55</v>
      </c>
      <c r="T45" s="10">
        <v>-79</v>
      </c>
      <c r="U45" s="10">
        <v>-195</v>
      </c>
      <c r="V45" s="10">
        <v>-260</v>
      </c>
      <c r="W45" s="10">
        <v>-1143</v>
      </c>
      <c r="X45" s="10">
        <v>-551</v>
      </c>
      <c r="Y45" s="10">
        <v>-804</v>
      </c>
      <c r="Z45" s="10">
        <v>154</v>
      </c>
      <c r="AA45" s="10">
        <v>368</v>
      </c>
      <c r="AB45" s="10">
        <v>-15.96</v>
      </c>
      <c r="AC45" s="10">
        <v>-19.350000000000001</v>
      </c>
      <c r="AD45" s="10">
        <v>-14</v>
      </c>
      <c r="AE45" s="10">
        <v>-54</v>
      </c>
      <c r="AF45" s="10">
        <v>-2.74</v>
      </c>
      <c r="AG45" s="10">
        <v>-2.5299999999999998</v>
      </c>
      <c r="AH45" s="10"/>
      <c r="AI45" s="10"/>
      <c r="AJ45" s="10"/>
      <c r="AK45" s="10"/>
      <c r="AL45" s="10">
        <v>804.86</v>
      </c>
      <c r="AM45" s="10">
        <v>2051.48</v>
      </c>
      <c r="AN45" s="10"/>
      <c r="AO45" s="10"/>
      <c r="AP45" s="10">
        <v>8</v>
      </c>
      <c r="AQ45" s="10">
        <v>28</v>
      </c>
      <c r="AR45" s="10">
        <v>124</v>
      </c>
      <c r="AS45" s="10">
        <v>245</v>
      </c>
      <c r="AT45" s="10">
        <v>-176</v>
      </c>
      <c r="AU45" s="10">
        <v>-556</v>
      </c>
      <c r="AV45" s="10">
        <v>-67</v>
      </c>
      <c r="AW45" s="10">
        <v>-445</v>
      </c>
      <c r="AX45" s="10">
        <v>2</v>
      </c>
      <c r="AY45" s="10">
        <v>9</v>
      </c>
      <c r="AZ45" s="10"/>
      <c r="BA45" s="10"/>
      <c r="BB45" s="10">
        <v>-800</v>
      </c>
      <c r="BC45" s="10">
        <v>-1721</v>
      </c>
      <c r="BD45" s="10">
        <v>765</v>
      </c>
      <c r="BE45" s="10">
        <v>2367</v>
      </c>
      <c r="BF45" s="10">
        <v>997</v>
      </c>
      <c r="BG45" s="10">
        <v>2094</v>
      </c>
      <c r="BH45" s="10">
        <v>1090</v>
      </c>
      <c r="BI45" s="10">
        <v>2883</v>
      </c>
      <c r="BJ45" s="10">
        <v>-39</v>
      </c>
      <c r="BK45" s="10">
        <v>-91</v>
      </c>
      <c r="BL45" s="63">
        <f t="shared" si="6"/>
        <v>1431.5499999999997</v>
      </c>
      <c r="BM45" s="63">
        <f t="shared" si="7"/>
        <v>3304.79</v>
      </c>
    </row>
    <row r="46" spans="1:65" x14ac:dyDescent="0.25">
      <c r="A46" s="22"/>
    </row>
    <row r="47" spans="1:65" x14ac:dyDescent="0.25">
      <c r="A47" s="23" t="s">
        <v>186</v>
      </c>
    </row>
    <row r="48" spans="1:65" x14ac:dyDescent="0.25">
      <c r="A48" s="3" t="s">
        <v>0</v>
      </c>
      <c r="B48" s="153" t="s">
        <v>1</v>
      </c>
      <c r="C48" s="154"/>
      <c r="D48" s="153" t="s">
        <v>234</v>
      </c>
      <c r="E48" s="154"/>
      <c r="F48" s="153" t="s">
        <v>2</v>
      </c>
      <c r="G48" s="154"/>
      <c r="H48" s="153" t="s">
        <v>3</v>
      </c>
      <c r="I48" s="154"/>
      <c r="J48" s="153" t="s">
        <v>243</v>
      </c>
      <c r="K48" s="154"/>
      <c r="L48" s="153" t="s">
        <v>235</v>
      </c>
      <c r="M48" s="154"/>
      <c r="N48" s="153" t="s">
        <v>5</v>
      </c>
      <c r="O48" s="154"/>
      <c r="P48" s="153" t="s">
        <v>4</v>
      </c>
      <c r="Q48" s="154"/>
      <c r="R48" s="153" t="s">
        <v>6</v>
      </c>
      <c r="S48" s="154"/>
      <c r="T48" s="153" t="s">
        <v>246</v>
      </c>
      <c r="U48" s="154"/>
      <c r="V48" s="153" t="s">
        <v>7</v>
      </c>
      <c r="W48" s="154"/>
      <c r="X48" s="153" t="s">
        <v>8</v>
      </c>
      <c r="Y48" s="154"/>
      <c r="Z48" s="153" t="s">
        <v>9</v>
      </c>
      <c r="AA48" s="154"/>
      <c r="AB48" s="153" t="s">
        <v>242</v>
      </c>
      <c r="AC48" s="154"/>
      <c r="AD48" s="153" t="s">
        <v>10</v>
      </c>
      <c r="AE48" s="154"/>
      <c r="AF48" s="153" t="s">
        <v>11</v>
      </c>
      <c r="AG48" s="154"/>
      <c r="AH48" s="153" t="s">
        <v>236</v>
      </c>
      <c r="AI48" s="154"/>
      <c r="AJ48" s="153" t="s">
        <v>245</v>
      </c>
      <c r="AK48" s="154"/>
      <c r="AL48" s="153" t="s">
        <v>12</v>
      </c>
      <c r="AM48" s="154"/>
      <c r="AN48" s="153" t="s">
        <v>237</v>
      </c>
      <c r="AO48" s="154"/>
      <c r="AP48" s="153" t="s">
        <v>238</v>
      </c>
      <c r="AQ48" s="154"/>
      <c r="AR48" s="153" t="s">
        <v>241</v>
      </c>
      <c r="AS48" s="154"/>
      <c r="AT48" s="153" t="s">
        <v>13</v>
      </c>
      <c r="AU48" s="154"/>
      <c r="AV48" s="153" t="s">
        <v>14</v>
      </c>
      <c r="AW48" s="154"/>
      <c r="AX48" s="153" t="s">
        <v>15</v>
      </c>
      <c r="AY48" s="154"/>
      <c r="AZ48" s="153" t="s">
        <v>16</v>
      </c>
      <c r="BA48" s="154"/>
      <c r="BB48" s="153" t="s">
        <v>17</v>
      </c>
      <c r="BC48" s="154"/>
      <c r="BD48" s="153" t="s">
        <v>239</v>
      </c>
      <c r="BE48" s="154"/>
      <c r="BF48" s="153" t="s">
        <v>240</v>
      </c>
      <c r="BG48" s="154"/>
      <c r="BH48" s="153" t="s">
        <v>18</v>
      </c>
      <c r="BI48" s="154"/>
      <c r="BJ48" s="153" t="s">
        <v>19</v>
      </c>
      <c r="BK48" s="154"/>
      <c r="BL48" s="155" t="s">
        <v>20</v>
      </c>
      <c r="BM48" s="156"/>
    </row>
    <row r="49" spans="1:65" ht="30" x14ac:dyDescent="0.25">
      <c r="A49" s="3"/>
      <c r="B49" s="53" t="s">
        <v>303</v>
      </c>
      <c r="C49" s="54" t="s">
        <v>302</v>
      </c>
      <c r="D49" s="53" t="s">
        <v>303</v>
      </c>
      <c r="E49" s="54" t="s">
        <v>302</v>
      </c>
      <c r="F49" s="53" t="s">
        <v>303</v>
      </c>
      <c r="G49" s="54" t="s">
        <v>302</v>
      </c>
      <c r="H49" s="53" t="s">
        <v>303</v>
      </c>
      <c r="I49" s="54" t="s">
        <v>302</v>
      </c>
      <c r="J49" s="53" t="s">
        <v>303</v>
      </c>
      <c r="K49" s="54" t="s">
        <v>302</v>
      </c>
      <c r="L49" s="53" t="s">
        <v>303</v>
      </c>
      <c r="M49" s="54" t="s">
        <v>302</v>
      </c>
      <c r="N49" s="53" t="s">
        <v>303</v>
      </c>
      <c r="O49" s="54" t="s">
        <v>302</v>
      </c>
      <c r="P49" s="53" t="s">
        <v>303</v>
      </c>
      <c r="Q49" s="54" t="s">
        <v>302</v>
      </c>
      <c r="R49" s="53" t="s">
        <v>303</v>
      </c>
      <c r="S49" s="54" t="s">
        <v>302</v>
      </c>
      <c r="T49" s="53" t="s">
        <v>303</v>
      </c>
      <c r="U49" s="54" t="s">
        <v>302</v>
      </c>
      <c r="V49" s="53" t="s">
        <v>303</v>
      </c>
      <c r="W49" s="54" t="s">
        <v>302</v>
      </c>
      <c r="X49" s="53" t="s">
        <v>303</v>
      </c>
      <c r="Y49" s="54" t="s">
        <v>302</v>
      </c>
      <c r="Z49" s="53" t="s">
        <v>303</v>
      </c>
      <c r="AA49" s="54" t="s">
        <v>302</v>
      </c>
      <c r="AB49" s="53" t="s">
        <v>303</v>
      </c>
      <c r="AC49" s="54" t="s">
        <v>302</v>
      </c>
      <c r="AD49" s="53" t="s">
        <v>303</v>
      </c>
      <c r="AE49" s="54" t="s">
        <v>302</v>
      </c>
      <c r="AF49" s="53" t="s">
        <v>303</v>
      </c>
      <c r="AG49" s="54" t="s">
        <v>302</v>
      </c>
      <c r="AH49" s="53" t="s">
        <v>303</v>
      </c>
      <c r="AI49" s="54" t="s">
        <v>302</v>
      </c>
      <c r="AJ49" s="53" t="s">
        <v>303</v>
      </c>
      <c r="AK49" s="54" t="s">
        <v>302</v>
      </c>
      <c r="AL49" s="53" t="s">
        <v>303</v>
      </c>
      <c r="AM49" s="54" t="s">
        <v>302</v>
      </c>
      <c r="AN49" s="53" t="s">
        <v>303</v>
      </c>
      <c r="AO49" s="54" t="s">
        <v>302</v>
      </c>
      <c r="AP49" s="53" t="s">
        <v>303</v>
      </c>
      <c r="AQ49" s="54" t="s">
        <v>302</v>
      </c>
      <c r="AR49" s="53" t="s">
        <v>303</v>
      </c>
      <c r="AS49" s="54" t="s">
        <v>302</v>
      </c>
      <c r="AT49" s="53" t="s">
        <v>303</v>
      </c>
      <c r="AU49" s="54" t="s">
        <v>302</v>
      </c>
      <c r="AV49" s="53" t="s">
        <v>303</v>
      </c>
      <c r="AW49" s="54" t="s">
        <v>302</v>
      </c>
      <c r="AX49" s="53" t="s">
        <v>303</v>
      </c>
      <c r="AY49" s="54" t="s">
        <v>302</v>
      </c>
      <c r="AZ49" s="53" t="s">
        <v>303</v>
      </c>
      <c r="BA49" s="54" t="s">
        <v>302</v>
      </c>
      <c r="BB49" s="53" t="s">
        <v>303</v>
      </c>
      <c r="BC49" s="54" t="s">
        <v>302</v>
      </c>
      <c r="BD49" s="53" t="s">
        <v>303</v>
      </c>
      <c r="BE49" s="54" t="s">
        <v>302</v>
      </c>
      <c r="BF49" s="53" t="s">
        <v>303</v>
      </c>
      <c r="BG49" s="54" t="s">
        <v>302</v>
      </c>
      <c r="BH49" s="53" t="s">
        <v>303</v>
      </c>
      <c r="BI49" s="54" t="s">
        <v>302</v>
      </c>
      <c r="BJ49" s="53" t="s">
        <v>303</v>
      </c>
      <c r="BK49" s="54" t="s">
        <v>302</v>
      </c>
      <c r="BL49" s="105" t="s">
        <v>303</v>
      </c>
      <c r="BM49" s="106" t="s">
        <v>302</v>
      </c>
    </row>
    <row r="50" spans="1:65" x14ac:dyDescent="0.25">
      <c r="A50" s="24" t="s">
        <v>292</v>
      </c>
      <c r="B50" s="92">
        <v>362</v>
      </c>
      <c r="C50" s="92">
        <v>1090</v>
      </c>
      <c r="D50" s="92">
        <v>4034</v>
      </c>
      <c r="E50" s="92">
        <v>11716</v>
      </c>
      <c r="F50" s="9"/>
      <c r="G50" s="9"/>
      <c r="H50" s="92">
        <v>4094</v>
      </c>
      <c r="I50" s="92">
        <v>12379</v>
      </c>
      <c r="J50" s="92">
        <v>8753</v>
      </c>
      <c r="K50" s="92">
        <v>23622</v>
      </c>
      <c r="L50" s="92">
        <v>1324</v>
      </c>
      <c r="M50" s="92">
        <v>3711</v>
      </c>
      <c r="N50" s="76"/>
      <c r="O50" s="76"/>
      <c r="P50" s="92">
        <v>202.99</v>
      </c>
      <c r="Q50" s="92">
        <v>542.42999999999995</v>
      </c>
      <c r="R50" s="92">
        <v>590.94000000000005</v>
      </c>
      <c r="S50" s="92">
        <v>1880.41</v>
      </c>
      <c r="T50" s="92">
        <v>462</v>
      </c>
      <c r="U50" s="92">
        <v>2077</v>
      </c>
      <c r="V50" s="92">
        <v>11873</v>
      </c>
      <c r="W50" s="92">
        <v>33746</v>
      </c>
      <c r="X50" s="92">
        <v>5514</v>
      </c>
      <c r="Y50" s="92">
        <v>17665</v>
      </c>
      <c r="Z50" s="92">
        <v>1267</v>
      </c>
      <c r="AA50" s="92">
        <v>5261</v>
      </c>
      <c r="AB50" s="92">
        <v>338.56</v>
      </c>
      <c r="AC50" s="92">
        <v>985.55</v>
      </c>
      <c r="AD50" s="92">
        <v>276</v>
      </c>
      <c r="AE50" s="92">
        <v>1141</v>
      </c>
      <c r="AF50" s="69">
        <v>198.91</v>
      </c>
      <c r="AG50" s="92">
        <v>526.91</v>
      </c>
      <c r="AH50" s="92">
        <v>2291.34</v>
      </c>
      <c r="AI50" s="92">
        <v>6678.64</v>
      </c>
      <c r="AJ50" s="92">
        <v>6446</v>
      </c>
      <c r="AK50" s="92">
        <v>18807</v>
      </c>
      <c r="AL50" s="76"/>
      <c r="AM50" s="76"/>
      <c r="AN50" s="92">
        <v>63</v>
      </c>
      <c r="AO50" s="92">
        <v>162</v>
      </c>
      <c r="AP50" s="92">
        <v>9</v>
      </c>
      <c r="AQ50" s="92">
        <v>29</v>
      </c>
      <c r="AR50" s="76">
        <v>1435</v>
      </c>
      <c r="AS50" s="76">
        <v>4594</v>
      </c>
      <c r="AT50" s="92">
        <v>836</v>
      </c>
      <c r="AU50" s="92">
        <v>2722</v>
      </c>
      <c r="AV50" s="92">
        <v>3906</v>
      </c>
      <c r="AW50" s="92">
        <v>9190</v>
      </c>
      <c r="AX50" s="92">
        <v>42</v>
      </c>
      <c r="AY50" s="92">
        <v>117</v>
      </c>
      <c r="AZ50" s="92">
        <v>3736</v>
      </c>
      <c r="BA50" s="92">
        <v>93753</v>
      </c>
      <c r="BB50" s="92">
        <v>3608</v>
      </c>
      <c r="BC50" s="92">
        <v>10145</v>
      </c>
      <c r="BD50" s="76"/>
      <c r="BE50" s="76"/>
      <c r="BF50" s="92">
        <v>9298</v>
      </c>
      <c r="BG50" s="92">
        <v>27832</v>
      </c>
      <c r="BH50" s="9"/>
      <c r="BI50" s="9"/>
      <c r="BJ50" s="92">
        <v>528</v>
      </c>
      <c r="BK50" s="92">
        <v>2457</v>
      </c>
      <c r="BL50" s="68">
        <f t="shared" ref="BL50:BL56" si="8">SUM(B50+D50+F50+H50+J50+L50+N50+P50+R50+T50+V50+X50+Z50+AB50+AD50+AF50+AH50+AJ50+AL50+AN50+AP50+AR50+AT50+AV50+AX50+AZ50+BB50+BD50+BF50+BH50+BJ50)</f>
        <v>71488.740000000005</v>
      </c>
      <c r="BM50" s="68">
        <f t="shared" ref="BM50:BM56" si="9">SUM(C50+E50+G50+I50+K50+M50+O50+Q50+S50+U50+W50+Y50+AA50+AC50+AE50+AG50+AI50+AK50+AM50+AO50+AQ50+AS50+AU50+AW50+AY50+BA50+BC50+BE50+BG50+BI50+BK50)</f>
        <v>292829.94</v>
      </c>
    </row>
    <row r="51" spans="1:65" s="71" customFormat="1" x14ac:dyDescent="0.25">
      <c r="A51" s="24" t="s">
        <v>293</v>
      </c>
      <c r="B51" s="92">
        <v>33</v>
      </c>
      <c r="C51" s="92">
        <v>100</v>
      </c>
      <c r="D51" s="92">
        <v>476</v>
      </c>
      <c r="E51" s="92">
        <v>1201</v>
      </c>
      <c r="F51" s="92"/>
      <c r="G51" s="92"/>
      <c r="H51" s="92">
        <v>165</v>
      </c>
      <c r="I51" s="92">
        <v>285</v>
      </c>
      <c r="J51" s="92">
        <v>2276</v>
      </c>
      <c r="K51" s="92">
        <v>6101</v>
      </c>
      <c r="L51" s="92">
        <v>11</v>
      </c>
      <c r="M51" s="92">
        <v>95</v>
      </c>
      <c r="N51" s="92"/>
      <c r="O51" s="92"/>
      <c r="P51" s="92">
        <v>16.97</v>
      </c>
      <c r="Q51" s="92">
        <v>39.22</v>
      </c>
      <c r="R51" s="92"/>
      <c r="S51" s="92"/>
      <c r="T51" s="92">
        <v>64</v>
      </c>
      <c r="U51" s="92">
        <v>477</v>
      </c>
      <c r="V51" s="92">
        <v>677</v>
      </c>
      <c r="W51" s="92">
        <v>1618</v>
      </c>
      <c r="X51" s="92">
        <v>515</v>
      </c>
      <c r="Y51" s="92">
        <v>1495</v>
      </c>
      <c r="Z51" s="92">
        <v>162</v>
      </c>
      <c r="AA51" s="92">
        <v>708</v>
      </c>
      <c r="AB51" s="92">
        <v>9.9700000000000006</v>
      </c>
      <c r="AC51" s="92">
        <v>25.78</v>
      </c>
      <c r="AD51" s="92">
        <v>54</v>
      </c>
      <c r="AE51" s="92">
        <v>146</v>
      </c>
      <c r="AF51" s="69">
        <v>8.2100000000000009</v>
      </c>
      <c r="AG51" s="92">
        <v>18.62</v>
      </c>
      <c r="AH51" s="92">
        <v>284.91000000000003</v>
      </c>
      <c r="AI51" s="92">
        <v>666.25</v>
      </c>
      <c r="AJ51" s="92">
        <v>1602</v>
      </c>
      <c r="AK51" s="92">
        <v>3701</v>
      </c>
      <c r="AL51" s="92"/>
      <c r="AM51" s="92"/>
      <c r="AN51" s="92"/>
      <c r="AO51" s="92"/>
      <c r="AP51" s="92">
        <v>2</v>
      </c>
      <c r="AQ51" s="92">
        <v>8</v>
      </c>
      <c r="AR51" s="92">
        <v>56</v>
      </c>
      <c r="AS51" s="92">
        <v>230</v>
      </c>
      <c r="AT51" s="92">
        <v>105</v>
      </c>
      <c r="AU51" s="92">
        <v>322</v>
      </c>
      <c r="AV51" s="92">
        <v>14</v>
      </c>
      <c r="AW51" s="92">
        <v>251</v>
      </c>
      <c r="AX51" s="92">
        <v>0</v>
      </c>
      <c r="AY51" s="92">
        <v>0</v>
      </c>
      <c r="AZ51" s="92">
        <v>33832</v>
      </c>
      <c r="BA51" s="92">
        <v>9463</v>
      </c>
      <c r="BB51" s="92">
        <v>191</v>
      </c>
      <c r="BC51" s="92">
        <v>452</v>
      </c>
      <c r="BD51" s="92"/>
      <c r="BE51" s="92"/>
      <c r="BF51" s="92">
        <v>0</v>
      </c>
      <c r="BG51" s="92"/>
      <c r="BH51" s="92"/>
      <c r="BI51" s="92"/>
      <c r="BJ51" s="92">
        <v>65</v>
      </c>
      <c r="BK51" s="92">
        <v>287</v>
      </c>
      <c r="BL51" s="68">
        <f t="shared" si="8"/>
        <v>40620.06</v>
      </c>
      <c r="BM51" s="68">
        <f t="shared" si="9"/>
        <v>27689.870000000003</v>
      </c>
    </row>
    <row r="52" spans="1:65" s="71" customFormat="1" x14ac:dyDescent="0.25">
      <c r="A52" s="24" t="s">
        <v>294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>
        <v>2.64</v>
      </c>
      <c r="S52" s="92">
        <v>19.059999999999999</v>
      </c>
      <c r="T52" s="92"/>
      <c r="U52" s="92"/>
      <c r="V52" s="92"/>
      <c r="W52" s="92"/>
      <c r="X52" s="92">
        <v>0</v>
      </c>
      <c r="Y52" s="92">
        <v>0</v>
      </c>
      <c r="Z52" s="92"/>
      <c r="AA52" s="92"/>
      <c r="AB52" s="92"/>
      <c r="AC52" s="92"/>
      <c r="AD52" s="92"/>
      <c r="AE52" s="92"/>
      <c r="AF52" s="69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>
        <v>0</v>
      </c>
      <c r="BG52" s="92"/>
      <c r="BH52" s="92"/>
      <c r="BI52" s="92"/>
      <c r="BJ52" s="92"/>
      <c r="BK52" s="92"/>
      <c r="BL52" s="68">
        <f t="shared" si="8"/>
        <v>2.64</v>
      </c>
      <c r="BM52" s="68">
        <f t="shared" si="9"/>
        <v>19.059999999999999</v>
      </c>
    </row>
    <row r="53" spans="1:65" s="7" customFormat="1" x14ac:dyDescent="0.25">
      <c r="A53" s="10" t="s">
        <v>295</v>
      </c>
      <c r="B53" s="10">
        <v>395</v>
      </c>
      <c r="C53" s="10">
        <v>1190</v>
      </c>
      <c r="D53" s="10">
        <v>4510</v>
      </c>
      <c r="E53" s="10">
        <v>12917</v>
      </c>
      <c r="F53" s="10"/>
      <c r="G53" s="10"/>
      <c r="H53" s="10">
        <v>4259</v>
      </c>
      <c r="I53" s="10">
        <v>12664</v>
      </c>
      <c r="J53" s="10">
        <v>11029</v>
      </c>
      <c r="K53" s="10">
        <v>29723</v>
      </c>
      <c r="L53" s="10">
        <v>1335</v>
      </c>
      <c r="M53" s="10">
        <v>3806</v>
      </c>
      <c r="N53" s="10"/>
      <c r="O53" s="10"/>
      <c r="P53" s="10">
        <v>219.96</v>
      </c>
      <c r="Q53" s="10">
        <v>581.65</v>
      </c>
      <c r="R53" s="10">
        <v>593.58000000000004</v>
      </c>
      <c r="S53" s="10">
        <v>1899.47</v>
      </c>
      <c r="T53" s="10">
        <v>526</v>
      </c>
      <c r="U53" s="10">
        <v>2554</v>
      </c>
      <c r="V53" s="10">
        <v>12550</v>
      </c>
      <c r="W53" s="10">
        <v>35364</v>
      </c>
      <c r="X53" s="10">
        <v>6029</v>
      </c>
      <c r="Y53" s="10">
        <v>19160</v>
      </c>
      <c r="Z53" s="10">
        <v>1429</v>
      </c>
      <c r="AA53" s="10">
        <v>5969</v>
      </c>
      <c r="AB53" s="10">
        <v>348.53</v>
      </c>
      <c r="AC53" s="10">
        <v>1011.33</v>
      </c>
      <c r="AD53" s="10">
        <v>330</v>
      </c>
      <c r="AE53" s="10">
        <v>1287</v>
      </c>
      <c r="AF53" s="10">
        <v>207.12</v>
      </c>
      <c r="AG53" s="10">
        <v>545.53</v>
      </c>
      <c r="AH53" s="10">
        <v>2576.25</v>
      </c>
      <c r="AI53" s="10">
        <v>7344.89</v>
      </c>
      <c r="AJ53" s="10">
        <v>8048</v>
      </c>
      <c r="AK53" s="10">
        <v>22507</v>
      </c>
      <c r="AL53" s="10">
        <v>8527.57</v>
      </c>
      <c r="AM53" s="10">
        <v>28058.91</v>
      </c>
      <c r="AN53" s="10">
        <v>63</v>
      </c>
      <c r="AO53" s="10">
        <v>162</v>
      </c>
      <c r="AP53" s="10">
        <v>11</v>
      </c>
      <c r="AQ53" s="10">
        <v>37</v>
      </c>
      <c r="AR53" s="10">
        <v>1490</v>
      </c>
      <c r="AS53" s="10">
        <v>4824</v>
      </c>
      <c r="AT53" s="10">
        <v>941</v>
      </c>
      <c r="AU53" s="10">
        <v>3044</v>
      </c>
      <c r="AV53" s="10">
        <v>3920</v>
      </c>
      <c r="AW53" s="10">
        <v>9441</v>
      </c>
      <c r="AX53" s="10">
        <v>42</v>
      </c>
      <c r="AY53" s="10">
        <v>117</v>
      </c>
      <c r="AZ53" s="10">
        <v>37568</v>
      </c>
      <c r="BA53" s="10">
        <v>103216</v>
      </c>
      <c r="BB53" s="10">
        <v>3798</v>
      </c>
      <c r="BC53" s="10">
        <v>10598</v>
      </c>
      <c r="BD53" s="10">
        <v>18388</v>
      </c>
      <c r="BE53" s="10">
        <v>55105</v>
      </c>
      <c r="BF53" s="10">
        <v>9298</v>
      </c>
      <c r="BG53" s="10">
        <v>27832</v>
      </c>
      <c r="BH53" s="10">
        <v>6402</v>
      </c>
      <c r="BI53" s="10">
        <v>20482</v>
      </c>
      <c r="BJ53" s="10">
        <v>593</v>
      </c>
      <c r="BK53" s="10">
        <v>2744</v>
      </c>
      <c r="BL53" s="63">
        <f t="shared" si="8"/>
        <v>145427.01</v>
      </c>
      <c r="BM53" s="63">
        <f t="shared" si="9"/>
        <v>424184.78</v>
      </c>
    </row>
    <row r="54" spans="1:65" x14ac:dyDescent="0.25">
      <c r="A54" s="24" t="s">
        <v>296</v>
      </c>
      <c r="B54" s="92"/>
      <c r="C54" s="92"/>
      <c r="D54" s="92"/>
      <c r="E54" s="92"/>
      <c r="F54" s="9"/>
      <c r="G54" s="9"/>
      <c r="H54" s="92"/>
      <c r="I54" s="92"/>
      <c r="J54" s="92">
        <v>19</v>
      </c>
      <c r="K54" s="92">
        <v>-371</v>
      </c>
      <c r="L54" s="92"/>
      <c r="M54" s="92"/>
      <c r="N54" s="76"/>
      <c r="O54" s="76"/>
      <c r="P54" s="92">
        <v>12.96</v>
      </c>
      <c r="Q54" s="92">
        <v>27.07</v>
      </c>
      <c r="R54" s="92"/>
      <c r="S54" s="92"/>
      <c r="T54" s="92">
        <v>-13</v>
      </c>
      <c r="U54" s="92"/>
      <c r="V54" s="92"/>
      <c r="W54" s="92"/>
      <c r="X54" s="92">
        <v>771</v>
      </c>
      <c r="Y54" s="92">
        <v>1475</v>
      </c>
      <c r="Z54" s="92">
        <v>0</v>
      </c>
      <c r="AA54" s="92">
        <v>70</v>
      </c>
      <c r="AB54" s="92"/>
      <c r="AC54" s="92"/>
      <c r="AD54" s="92"/>
      <c r="AE54" s="92"/>
      <c r="AF54" s="69"/>
      <c r="AG54" s="92"/>
      <c r="AH54" s="92"/>
      <c r="AI54" s="92"/>
      <c r="AJ54" s="92"/>
      <c r="AK54" s="92"/>
      <c r="AL54" s="92">
        <v>80.36</v>
      </c>
      <c r="AM54" s="92">
        <v>648.04</v>
      </c>
      <c r="AN54" s="92"/>
      <c r="AO54" s="92"/>
      <c r="AP54" s="92"/>
      <c r="AQ54" s="92"/>
      <c r="AR54" s="76"/>
      <c r="AS54" s="76"/>
      <c r="AT54" s="92"/>
      <c r="AU54" s="92"/>
      <c r="AV54" s="92">
        <v>-129</v>
      </c>
      <c r="AW54" s="92">
        <v>67</v>
      </c>
      <c r="AX54" s="92"/>
      <c r="AY54" s="92"/>
      <c r="AZ54" s="92"/>
      <c r="BA54" s="92"/>
      <c r="BB54" s="92"/>
      <c r="BC54" s="92"/>
      <c r="BD54" s="92">
        <v>440</v>
      </c>
      <c r="BE54" s="92">
        <v>1443</v>
      </c>
      <c r="BF54" s="92">
        <v>0</v>
      </c>
      <c r="BG54" s="92">
        <v>479</v>
      </c>
      <c r="BH54" s="92">
        <v>0</v>
      </c>
      <c r="BI54" s="92">
        <v>0</v>
      </c>
      <c r="BJ54" s="92"/>
      <c r="BK54" s="92"/>
      <c r="BL54" s="68">
        <f t="shared" si="8"/>
        <v>1181.3200000000002</v>
      </c>
      <c r="BM54" s="68">
        <f t="shared" si="9"/>
        <v>3838.1099999999997</v>
      </c>
    </row>
    <row r="55" spans="1:65" x14ac:dyDescent="0.25">
      <c r="A55" s="24" t="s">
        <v>297</v>
      </c>
      <c r="B55" s="92">
        <v>46</v>
      </c>
      <c r="C55" s="92">
        <v>132</v>
      </c>
      <c r="D55" s="92">
        <v>4813</v>
      </c>
      <c r="E55" s="92">
        <v>12216</v>
      </c>
      <c r="F55" s="9"/>
      <c r="G55" s="9"/>
      <c r="H55" s="92">
        <v>-2477</v>
      </c>
      <c r="I55" s="92">
        <v>-11080</v>
      </c>
      <c r="J55" s="92">
        <v>8519</v>
      </c>
      <c r="K55" s="92">
        <v>26211</v>
      </c>
      <c r="L55" s="92">
        <v>-788</v>
      </c>
      <c r="M55" s="92">
        <v>-175</v>
      </c>
      <c r="N55" s="76"/>
      <c r="O55" s="76"/>
      <c r="P55" s="92">
        <v>489.69</v>
      </c>
      <c r="Q55" s="92">
        <v>879.38</v>
      </c>
      <c r="R55" s="92">
        <v>1114.6300000000001</v>
      </c>
      <c r="S55" s="92">
        <v>2264.67</v>
      </c>
      <c r="T55" s="92">
        <v>-36</v>
      </c>
      <c r="U55" s="92">
        <v>-188</v>
      </c>
      <c r="V55" s="92">
        <v>-12869</v>
      </c>
      <c r="W55" s="92">
        <v>-37168</v>
      </c>
      <c r="X55" s="92">
        <v>6607</v>
      </c>
      <c r="Y55" s="92">
        <v>16368</v>
      </c>
      <c r="Z55" s="92">
        <v>262</v>
      </c>
      <c r="AA55" s="92">
        <v>952</v>
      </c>
      <c r="AB55" s="92">
        <v>265.14</v>
      </c>
      <c r="AC55" s="92">
        <v>700.76</v>
      </c>
      <c r="AD55" s="92">
        <v>18</v>
      </c>
      <c r="AE55" s="92">
        <v>83</v>
      </c>
      <c r="AF55" s="69">
        <v>-91.39</v>
      </c>
      <c r="AG55" s="92">
        <v>-212.05</v>
      </c>
      <c r="AH55" s="92">
        <v>148.16999999999999</v>
      </c>
      <c r="AI55" s="92">
        <v>566.92999999999995</v>
      </c>
      <c r="AJ55" s="92">
        <v>5704</v>
      </c>
      <c r="AK55" s="92">
        <v>17877</v>
      </c>
      <c r="AL55" s="92">
        <v>808.2</v>
      </c>
      <c r="AM55" s="92">
        <v>2737.88</v>
      </c>
      <c r="AN55" s="92">
        <v>-4</v>
      </c>
      <c r="AO55" s="92">
        <v>1</v>
      </c>
      <c r="AP55" s="92">
        <v>1</v>
      </c>
      <c r="AQ55" s="92">
        <v>2</v>
      </c>
      <c r="AR55" s="76">
        <v>1216</v>
      </c>
      <c r="AS55" s="76">
        <v>2978</v>
      </c>
      <c r="AT55" s="92">
        <v>316</v>
      </c>
      <c r="AU55" s="92">
        <v>664</v>
      </c>
      <c r="AV55" s="92">
        <v>23</v>
      </c>
      <c r="AW55" s="92">
        <v>876</v>
      </c>
      <c r="AX55" s="92">
        <v>2</v>
      </c>
      <c r="AY55" s="92">
        <v>6</v>
      </c>
      <c r="AZ55" s="92">
        <v>2066</v>
      </c>
      <c r="BA55" s="92">
        <v>5696</v>
      </c>
      <c r="BB55" s="92">
        <v>2315</v>
      </c>
      <c r="BC55" s="92">
        <v>5412</v>
      </c>
      <c r="BD55" s="92">
        <v>3628</v>
      </c>
      <c r="BE55" s="92">
        <v>10948</v>
      </c>
      <c r="BF55" s="92">
        <v>519</v>
      </c>
      <c r="BG55" s="92">
        <v>1937</v>
      </c>
      <c r="BH55" s="92">
        <v>609</v>
      </c>
      <c r="BI55" s="92">
        <v>2441</v>
      </c>
      <c r="BJ55" s="92">
        <v>31</v>
      </c>
      <c r="BK55" s="92">
        <v>156</v>
      </c>
      <c r="BL55" s="68">
        <f t="shared" si="8"/>
        <v>23255.440000000002</v>
      </c>
      <c r="BM55" s="68">
        <f t="shared" si="9"/>
        <v>63282.570000000007</v>
      </c>
    </row>
    <row r="56" spans="1:65" s="7" customFormat="1" x14ac:dyDescent="0.25">
      <c r="A56" s="10" t="s">
        <v>190</v>
      </c>
      <c r="B56" s="10">
        <v>349</v>
      </c>
      <c r="C56" s="10">
        <v>1058</v>
      </c>
      <c r="D56" s="10">
        <v>-303</v>
      </c>
      <c r="E56" s="10">
        <v>701</v>
      </c>
      <c r="F56" s="10"/>
      <c r="G56" s="10"/>
      <c r="H56" s="10">
        <v>1782</v>
      </c>
      <c r="I56" s="10">
        <v>1583</v>
      </c>
      <c r="J56" s="10">
        <v>2529</v>
      </c>
      <c r="K56" s="10">
        <v>3141</v>
      </c>
      <c r="L56" s="10">
        <v>2123</v>
      </c>
      <c r="M56" s="10">
        <v>3981</v>
      </c>
      <c r="N56" s="10"/>
      <c r="O56" s="10"/>
      <c r="P56" s="10">
        <v>-256.77</v>
      </c>
      <c r="Q56" s="10">
        <v>-270.66000000000003</v>
      </c>
      <c r="R56" s="10">
        <v>-521.04999999999995</v>
      </c>
      <c r="S56" s="10">
        <v>-365.21</v>
      </c>
      <c r="T56" s="10">
        <v>477</v>
      </c>
      <c r="U56" s="10">
        <v>2366</v>
      </c>
      <c r="V56" s="10">
        <v>-319</v>
      </c>
      <c r="W56" s="10">
        <v>-1804</v>
      </c>
      <c r="X56" s="10">
        <v>193</v>
      </c>
      <c r="Y56" s="10">
        <v>4267</v>
      </c>
      <c r="Z56" s="10">
        <v>1167</v>
      </c>
      <c r="AA56" s="10">
        <v>5087</v>
      </c>
      <c r="AB56" s="10">
        <v>83.39</v>
      </c>
      <c r="AC56" s="10">
        <v>310.57</v>
      </c>
      <c r="AD56" s="10">
        <v>312</v>
      </c>
      <c r="AE56" s="10">
        <v>1204</v>
      </c>
      <c r="AF56" s="10">
        <v>115.73</v>
      </c>
      <c r="AG56" s="10">
        <v>333.48</v>
      </c>
      <c r="AH56" s="10">
        <v>2428.08</v>
      </c>
      <c r="AI56" s="10">
        <v>6777.96</v>
      </c>
      <c r="AJ56" s="10">
        <v>2344</v>
      </c>
      <c r="AK56" s="10">
        <v>4630</v>
      </c>
      <c r="AL56" s="10">
        <v>7799.74</v>
      </c>
      <c r="AM56" s="10">
        <v>25969.08</v>
      </c>
      <c r="AN56" s="10">
        <v>59</v>
      </c>
      <c r="AO56" s="10">
        <v>162</v>
      </c>
      <c r="AP56" s="10">
        <v>11</v>
      </c>
      <c r="AQ56" s="10">
        <v>35</v>
      </c>
      <c r="AR56" s="10">
        <v>275</v>
      </c>
      <c r="AS56" s="10">
        <v>1846</v>
      </c>
      <c r="AT56" s="10">
        <v>626</v>
      </c>
      <c r="AU56" s="10">
        <v>2379</v>
      </c>
      <c r="AV56" s="10">
        <v>3769</v>
      </c>
      <c r="AW56" s="10">
        <v>8635</v>
      </c>
      <c r="AX56" s="10">
        <v>39</v>
      </c>
      <c r="AY56" s="10">
        <v>111</v>
      </c>
      <c r="AZ56" s="10">
        <v>35502</v>
      </c>
      <c r="BA56" s="10">
        <v>97520</v>
      </c>
      <c r="BB56" s="10">
        <v>1483</v>
      </c>
      <c r="BC56" s="10">
        <v>5186</v>
      </c>
      <c r="BD56" s="10">
        <v>15200</v>
      </c>
      <c r="BE56" s="10">
        <v>45599</v>
      </c>
      <c r="BF56" s="10">
        <v>8778</v>
      </c>
      <c r="BG56" s="10">
        <v>26374</v>
      </c>
      <c r="BH56" s="10">
        <v>5793</v>
      </c>
      <c r="BI56" s="10">
        <v>18041</v>
      </c>
      <c r="BJ56" s="10">
        <v>562</v>
      </c>
      <c r="BK56" s="10">
        <v>2587</v>
      </c>
      <c r="BL56" s="63">
        <f t="shared" si="8"/>
        <v>92400.12</v>
      </c>
      <c r="BM56" s="63">
        <f t="shared" si="9"/>
        <v>267444.21999999997</v>
      </c>
    </row>
    <row r="57" spans="1:65" x14ac:dyDescent="0.25">
      <c r="A57" s="22"/>
      <c r="S57" s="71"/>
    </row>
    <row r="58" spans="1:65" x14ac:dyDescent="0.25">
      <c r="A58" s="23" t="s">
        <v>187</v>
      </c>
    </row>
    <row r="59" spans="1:65" x14ac:dyDescent="0.25">
      <c r="A59" s="3" t="s">
        <v>0</v>
      </c>
      <c r="B59" s="153" t="s">
        <v>1</v>
      </c>
      <c r="C59" s="154"/>
      <c r="D59" s="153" t="s">
        <v>234</v>
      </c>
      <c r="E59" s="154"/>
      <c r="F59" s="153" t="s">
        <v>2</v>
      </c>
      <c r="G59" s="154"/>
      <c r="H59" s="153" t="s">
        <v>3</v>
      </c>
      <c r="I59" s="154"/>
      <c r="J59" s="153" t="s">
        <v>243</v>
      </c>
      <c r="K59" s="154"/>
      <c r="L59" s="153" t="s">
        <v>235</v>
      </c>
      <c r="M59" s="154"/>
      <c r="N59" s="153" t="s">
        <v>5</v>
      </c>
      <c r="O59" s="154"/>
      <c r="P59" s="153" t="s">
        <v>4</v>
      </c>
      <c r="Q59" s="154"/>
      <c r="R59" s="153" t="s">
        <v>6</v>
      </c>
      <c r="S59" s="154"/>
      <c r="T59" s="153" t="s">
        <v>246</v>
      </c>
      <c r="U59" s="154"/>
      <c r="V59" s="153" t="s">
        <v>7</v>
      </c>
      <c r="W59" s="154"/>
      <c r="X59" s="153" t="s">
        <v>8</v>
      </c>
      <c r="Y59" s="154"/>
      <c r="Z59" s="153" t="s">
        <v>9</v>
      </c>
      <c r="AA59" s="154"/>
      <c r="AB59" s="153" t="s">
        <v>242</v>
      </c>
      <c r="AC59" s="154"/>
      <c r="AD59" s="153" t="s">
        <v>10</v>
      </c>
      <c r="AE59" s="154"/>
      <c r="AF59" s="153" t="s">
        <v>11</v>
      </c>
      <c r="AG59" s="154"/>
      <c r="AH59" s="153" t="s">
        <v>236</v>
      </c>
      <c r="AI59" s="154"/>
      <c r="AJ59" s="153" t="s">
        <v>245</v>
      </c>
      <c r="AK59" s="154"/>
      <c r="AL59" s="153" t="s">
        <v>12</v>
      </c>
      <c r="AM59" s="154"/>
      <c r="AN59" s="153" t="s">
        <v>237</v>
      </c>
      <c r="AO59" s="154"/>
      <c r="AP59" s="153" t="s">
        <v>238</v>
      </c>
      <c r="AQ59" s="154"/>
      <c r="AR59" s="153" t="s">
        <v>241</v>
      </c>
      <c r="AS59" s="154"/>
      <c r="AT59" s="153" t="s">
        <v>13</v>
      </c>
      <c r="AU59" s="154"/>
      <c r="AV59" s="153" t="s">
        <v>14</v>
      </c>
      <c r="AW59" s="154"/>
      <c r="AX59" s="153" t="s">
        <v>15</v>
      </c>
      <c r="AY59" s="154"/>
      <c r="AZ59" s="153" t="s">
        <v>16</v>
      </c>
      <c r="BA59" s="154"/>
      <c r="BB59" s="153" t="s">
        <v>17</v>
      </c>
      <c r="BC59" s="154"/>
      <c r="BD59" s="153" t="s">
        <v>239</v>
      </c>
      <c r="BE59" s="154"/>
      <c r="BF59" s="153" t="s">
        <v>240</v>
      </c>
      <c r="BG59" s="154"/>
      <c r="BH59" s="153" t="s">
        <v>18</v>
      </c>
      <c r="BI59" s="154"/>
      <c r="BJ59" s="153" t="s">
        <v>19</v>
      </c>
      <c r="BK59" s="154"/>
      <c r="BL59" s="155" t="s">
        <v>20</v>
      </c>
      <c r="BM59" s="156"/>
    </row>
    <row r="60" spans="1:65" ht="30" x14ac:dyDescent="0.25">
      <c r="A60" s="3"/>
      <c r="B60" s="53" t="s">
        <v>303</v>
      </c>
      <c r="C60" s="54" t="s">
        <v>302</v>
      </c>
      <c r="D60" s="53" t="s">
        <v>303</v>
      </c>
      <c r="E60" s="54" t="s">
        <v>302</v>
      </c>
      <c r="F60" s="53" t="s">
        <v>303</v>
      </c>
      <c r="G60" s="54" t="s">
        <v>302</v>
      </c>
      <c r="H60" s="53" t="s">
        <v>303</v>
      </c>
      <c r="I60" s="54" t="s">
        <v>302</v>
      </c>
      <c r="J60" s="53" t="s">
        <v>303</v>
      </c>
      <c r="K60" s="54" t="s">
        <v>302</v>
      </c>
      <c r="L60" s="53" t="s">
        <v>303</v>
      </c>
      <c r="M60" s="54" t="s">
        <v>302</v>
      </c>
      <c r="N60" s="53" t="s">
        <v>303</v>
      </c>
      <c r="O60" s="54" t="s">
        <v>302</v>
      </c>
      <c r="P60" s="53" t="s">
        <v>303</v>
      </c>
      <c r="Q60" s="54" t="s">
        <v>302</v>
      </c>
      <c r="R60" s="53" t="s">
        <v>303</v>
      </c>
      <c r="S60" s="54" t="s">
        <v>302</v>
      </c>
      <c r="T60" s="53" t="s">
        <v>303</v>
      </c>
      <c r="U60" s="54" t="s">
        <v>302</v>
      </c>
      <c r="V60" s="53" t="s">
        <v>303</v>
      </c>
      <c r="W60" s="54" t="s">
        <v>302</v>
      </c>
      <c r="X60" s="53" t="s">
        <v>303</v>
      </c>
      <c r="Y60" s="54" t="s">
        <v>302</v>
      </c>
      <c r="Z60" s="53" t="s">
        <v>303</v>
      </c>
      <c r="AA60" s="54" t="s">
        <v>302</v>
      </c>
      <c r="AB60" s="53" t="s">
        <v>303</v>
      </c>
      <c r="AC60" s="54" t="s">
        <v>302</v>
      </c>
      <c r="AD60" s="53" t="s">
        <v>303</v>
      </c>
      <c r="AE60" s="54" t="s">
        <v>302</v>
      </c>
      <c r="AF60" s="53" t="s">
        <v>303</v>
      </c>
      <c r="AG60" s="54" t="s">
        <v>302</v>
      </c>
      <c r="AH60" s="53" t="s">
        <v>303</v>
      </c>
      <c r="AI60" s="54" t="s">
        <v>302</v>
      </c>
      <c r="AJ60" s="53" t="s">
        <v>303</v>
      </c>
      <c r="AK60" s="54" t="s">
        <v>302</v>
      </c>
      <c r="AL60" s="53" t="s">
        <v>303</v>
      </c>
      <c r="AM60" s="54" t="s">
        <v>302</v>
      </c>
      <c r="AN60" s="53" t="s">
        <v>303</v>
      </c>
      <c r="AO60" s="54" t="s">
        <v>302</v>
      </c>
      <c r="AP60" s="53" t="s">
        <v>303</v>
      </c>
      <c r="AQ60" s="54" t="s">
        <v>302</v>
      </c>
      <c r="AR60" s="53" t="s">
        <v>303</v>
      </c>
      <c r="AS60" s="54" t="s">
        <v>302</v>
      </c>
      <c r="AT60" s="53" t="s">
        <v>303</v>
      </c>
      <c r="AU60" s="54" t="s">
        <v>302</v>
      </c>
      <c r="AV60" s="53" t="s">
        <v>303</v>
      </c>
      <c r="AW60" s="54" t="s">
        <v>302</v>
      </c>
      <c r="AX60" s="53" t="s">
        <v>303</v>
      </c>
      <c r="AY60" s="54" t="s">
        <v>302</v>
      </c>
      <c r="AZ60" s="53" t="s">
        <v>303</v>
      </c>
      <c r="BA60" s="54" t="s">
        <v>302</v>
      </c>
      <c r="BB60" s="53" t="s">
        <v>303</v>
      </c>
      <c r="BC60" s="54" t="s">
        <v>302</v>
      </c>
      <c r="BD60" s="53" t="s">
        <v>303</v>
      </c>
      <c r="BE60" s="54" t="s">
        <v>302</v>
      </c>
      <c r="BF60" s="53" t="s">
        <v>303</v>
      </c>
      <c r="BG60" s="54" t="s">
        <v>302</v>
      </c>
      <c r="BH60" s="53" t="s">
        <v>303</v>
      </c>
      <c r="BI60" s="54" t="s">
        <v>302</v>
      </c>
      <c r="BJ60" s="53" t="s">
        <v>303</v>
      </c>
      <c r="BK60" s="54" t="s">
        <v>302</v>
      </c>
      <c r="BL60" s="105" t="s">
        <v>303</v>
      </c>
      <c r="BM60" s="106" t="s">
        <v>302</v>
      </c>
    </row>
    <row r="61" spans="1:65" x14ac:dyDescent="0.25">
      <c r="A61" s="24" t="s">
        <v>292</v>
      </c>
      <c r="B61" s="92">
        <v>3</v>
      </c>
      <c r="C61" s="92">
        <v>20</v>
      </c>
      <c r="D61" s="92">
        <v>376</v>
      </c>
      <c r="E61" s="92">
        <v>1320</v>
      </c>
      <c r="F61" s="9"/>
      <c r="G61" s="9"/>
      <c r="H61" s="92">
        <v>550</v>
      </c>
      <c r="I61" s="92">
        <v>1493</v>
      </c>
      <c r="J61" s="92">
        <v>1386</v>
      </c>
      <c r="K61" s="92">
        <v>3282</v>
      </c>
      <c r="L61" s="92">
        <v>1896</v>
      </c>
      <c r="M61" s="92">
        <v>4841</v>
      </c>
      <c r="N61" s="76"/>
      <c r="O61" s="76"/>
      <c r="P61" s="92">
        <v>4.83</v>
      </c>
      <c r="Q61" s="92">
        <v>15.93</v>
      </c>
      <c r="R61" s="92">
        <v>252.68</v>
      </c>
      <c r="S61" s="92">
        <v>698.85</v>
      </c>
      <c r="T61" s="92">
        <v>95</v>
      </c>
      <c r="U61" s="92">
        <v>907</v>
      </c>
      <c r="V61" s="92">
        <v>2136</v>
      </c>
      <c r="W61" s="92">
        <v>5830</v>
      </c>
      <c r="X61" s="92">
        <v>749</v>
      </c>
      <c r="Y61" s="92">
        <v>1911</v>
      </c>
      <c r="Z61" s="92">
        <v>209</v>
      </c>
      <c r="AA61" s="92">
        <v>716</v>
      </c>
      <c r="AB61" s="92">
        <v>17.010000000000002</v>
      </c>
      <c r="AC61" s="92">
        <v>38.14</v>
      </c>
      <c r="AD61" s="92">
        <v>37</v>
      </c>
      <c r="AE61" s="92">
        <v>132</v>
      </c>
      <c r="AF61" s="69">
        <v>10.61</v>
      </c>
      <c r="AG61" s="92">
        <v>27.42</v>
      </c>
      <c r="AH61" s="92">
        <v>42.66</v>
      </c>
      <c r="AI61" s="92">
        <v>116.71</v>
      </c>
      <c r="AJ61" s="92">
        <v>204</v>
      </c>
      <c r="AK61" s="92">
        <v>538</v>
      </c>
      <c r="AL61" s="76"/>
      <c r="AM61" s="76"/>
      <c r="AN61" s="92">
        <v>11</v>
      </c>
      <c r="AO61" s="92">
        <v>41</v>
      </c>
      <c r="AP61" s="92"/>
      <c r="AQ61" s="92">
        <v>1</v>
      </c>
      <c r="AR61" s="76">
        <v>224</v>
      </c>
      <c r="AS61" s="76">
        <v>493</v>
      </c>
      <c r="AT61" s="92">
        <v>89</v>
      </c>
      <c r="AU61" s="92">
        <v>338</v>
      </c>
      <c r="AV61" s="92">
        <v>2822</v>
      </c>
      <c r="AW61" s="92">
        <v>6107</v>
      </c>
      <c r="AX61" s="92">
        <v>80</v>
      </c>
      <c r="AY61" s="92">
        <v>167</v>
      </c>
      <c r="AZ61" s="92">
        <v>48</v>
      </c>
      <c r="BA61" s="92">
        <v>1416</v>
      </c>
      <c r="BB61" s="92">
        <v>292</v>
      </c>
      <c r="BC61" s="92">
        <v>753</v>
      </c>
      <c r="BD61" s="76"/>
      <c r="BE61" s="76"/>
      <c r="BF61" s="92">
        <v>422</v>
      </c>
      <c r="BG61" s="92">
        <v>1276</v>
      </c>
      <c r="BH61" s="9"/>
      <c r="BI61" s="9"/>
      <c r="BJ61" s="92">
        <v>214</v>
      </c>
      <c r="BK61" s="92">
        <v>2411</v>
      </c>
      <c r="BL61" s="68">
        <f t="shared" ref="BL61:BL67" si="10">SUM(B61+D61+F61+H61+J61+L61+N61+P61+R61+T61+V61+X61+Z61+AB61+AD61+AF61+AH61+AJ61+AL61+AN61+AP61+AR61+AT61+AV61+AX61+AZ61+BB61+BD61+BF61+BH61+BJ61)</f>
        <v>12170.79</v>
      </c>
      <c r="BM61" s="68">
        <f t="shared" ref="BM61:BM67" si="11">SUM(C61+E61+G61+I61+K61+M61+O61+Q61+S61+U61+W61+Y61+AA61+AC61+AE61+AG61+AI61+AK61+AM61+AO61+AQ61+AS61+AU61+AW61+AY61+BA61+BC61+BE61+BG61+BI61+BK61)</f>
        <v>34890.049999999996</v>
      </c>
    </row>
    <row r="62" spans="1:65" s="71" customFormat="1" x14ac:dyDescent="0.25">
      <c r="A62" s="24" t="s">
        <v>293</v>
      </c>
      <c r="B62" s="92">
        <v>1</v>
      </c>
      <c r="C62" s="92">
        <v>1</v>
      </c>
      <c r="D62" s="92">
        <v>31</v>
      </c>
      <c r="E62" s="92">
        <v>76</v>
      </c>
      <c r="F62" s="92"/>
      <c r="G62" s="92"/>
      <c r="H62" s="92">
        <v>31</v>
      </c>
      <c r="I62" s="92">
        <v>72</v>
      </c>
      <c r="J62" s="92">
        <v>41</v>
      </c>
      <c r="K62" s="92">
        <v>105</v>
      </c>
      <c r="L62" s="92">
        <v>-5</v>
      </c>
      <c r="M62" s="92">
        <v>177</v>
      </c>
      <c r="N62" s="92"/>
      <c r="O62" s="92"/>
      <c r="P62" s="92"/>
      <c r="Q62" s="92">
        <v>2.35</v>
      </c>
      <c r="R62" s="92"/>
      <c r="S62" s="92"/>
      <c r="T62" s="92">
        <v>14</v>
      </c>
      <c r="U62" s="92">
        <v>28</v>
      </c>
      <c r="V62" s="92">
        <v>57</v>
      </c>
      <c r="W62" s="92">
        <v>120</v>
      </c>
      <c r="X62" s="92">
        <v>34</v>
      </c>
      <c r="Y62" s="92">
        <v>103</v>
      </c>
      <c r="Z62" s="92">
        <v>61</v>
      </c>
      <c r="AA62" s="92">
        <v>187</v>
      </c>
      <c r="AB62" s="92">
        <v>5.0599999999999996</v>
      </c>
      <c r="AC62" s="92">
        <v>10.4</v>
      </c>
      <c r="AD62" s="92">
        <v>7</v>
      </c>
      <c r="AE62" s="92">
        <v>12</v>
      </c>
      <c r="AF62" s="69">
        <v>2.66</v>
      </c>
      <c r="AG62" s="92">
        <v>6.73</v>
      </c>
      <c r="AH62" s="92">
        <v>4.54</v>
      </c>
      <c r="AI62" s="92">
        <v>7.04</v>
      </c>
      <c r="AJ62" s="92"/>
      <c r="AK62" s="92"/>
      <c r="AL62" s="92"/>
      <c r="AM62" s="92"/>
      <c r="AN62" s="92"/>
      <c r="AO62" s="92"/>
      <c r="AP62" s="92"/>
      <c r="AQ62" s="92">
        <v>0</v>
      </c>
      <c r="AR62" s="92">
        <v>10</v>
      </c>
      <c r="AS62" s="92">
        <v>23</v>
      </c>
      <c r="AT62" s="92">
        <v>10</v>
      </c>
      <c r="AU62" s="92">
        <v>44</v>
      </c>
      <c r="AV62" s="92">
        <v>1</v>
      </c>
      <c r="AW62" s="92">
        <v>14</v>
      </c>
      <c r="AX62" s="92">
        <v>8</v>
      </c>
      <c r="AY62" s="92">
        <v>12</v>
      </c>
      <c r="AZ62" s="92">
        <v>555</v>
      </c>
      <c r="BA62" s="92">
        <v>131</v>
      </c>
      <c r="BB62" s="92">
        <v>33</v>
      </c>
      <c r="BC62" s="92">
        <v>83</v>
      </c>
      <c r="BD62" s="92"/>
      <c r="BE62" s="92"/>
      <c r="BF62" s="92">
        <v>0</v>
      </c>
      <c r="BG62" s="92"/>
      <c r="BH62" s="92"/>
      <c r="BI62" s="92"/>
      <c r="BJ62" s="92">
        <v>0</v>
      </c>
      <c r="BK62" s="92">
        <v>0</v>
      </c>
      <c r="BL62" s="68">
        <f t="shared" si="10"/>
        <v>901.26</v>
      </c>
      <c r="BM62" s="68">
        <f t="shared" si="11"/>
        <v>1214.52</v>
      </c>
    </row>
    <row r="63" spans="1:65" s="71" customFormat="1" x14ac:dyDescent="0.25">
      <c r="A63" s="24" t="s">
        <v>294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>
        <v>-0.94</v>
      </c>
      <c r="S63" s="92">
        <v>0.15</v>
      </c>
      <c r="T63" s="92"/>
      <c r="U63" s="92"/>
      <c r="V63" s="92"/>
      <c r="W63" s="92"/>
      <c r="X63" s="92">
        <v>0</v>
      </c>
      <c r="Y63" s="92">
        <v>0</v>
      </c>
      <c r="Z63" s="92"/>
      <c r="AA63" s="92"/>
      <c r="AB63" s="92"/>
      <c r="AC63" s="92"/>
      <c r="AD63" s="92"/>
      <c r="AE63" s="92"/>
      <c r="AF63" s="69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>
        <v>0</v>
      </c>
      <c r="BG63" s="92"/>
      <c r="BH63" s="92"/>
      <c r="BI63" s="92"/>
      <c r="BJ63" s="92"/>
      <c r="BK63" s="92"/>
      <c r="BL63" s="68">
        <f t="shared" si="10"/>
        <v>-0.94</v>
      </c>
      <c r="BM63" s="68">
        <f t="shared" si="11"/>
        <v>0.15</v>
      </c>
    </row>
    <row r="64" spans="1:65" s="7" customFormat="1" x14ac:dyDescent="0.25">
      <c r="A64" s="10" t="s">
        <v>295</v>
      </c>
      <c r="B64" s="10">
        <v>4</v>
      </c>
      <c r="C64" s="10">
        <v>21</v>
      </c>
      <c r="D64" s="10">
        <v>407</v>
      </c>
      <c r="E64" s="10">
        <v>1396</v>
      </c>
      <c r="F64" s="10"/>
      <c r="G64" s="10"/>
      <c r="H64" s="10">
        <v>580</v>
      </c>
      <c r="I64" s="10">
        <v>1565</v>
      </c>
      <c r="J64" s="10">
        <v>1427</v>
      </c>
      <c r="K64" s="10">
        <v>3387</v>
      </c>
      <c r="L64" s="10">
        <v>1891</v>
      </c>
      <c r="M64" s="10">
        <v>5017</v>
      </c>
      <c r="N64" s="10"/>
      <c r="O64" s="10"/>
      <c r="P64" s="10">
        <v>4.83</v>
      </c>
      <c r="Q64" s="10">
        <v>18.28</v>
      </c>
      <c r="R64" s="10">
        <v>251.74</v>
      </c>
      <c r="S64" s="10">
        <v>698.99</v>
      </c>
      <c r="T64" s="10">
        <v>109</v>
      </c>
      <c r="U64" s="10">
        <v>935</v>
      </c>
      <c r="V64" s="10">
        <v>2193</v>
      </c>
      <c r="W64" s="10">
        <v>5950</v>
      </c>
      <c r="X64" s="10">
        <v>783</v>
      </c>
      <c r="Y64" s="10">
        <v>2014</v>
      </c>
      <c r="Z64" s="10">
        <v>270</v>
      </c>
      <c r="AA64" s="10">
        <v>903</v>
      </c>
      <c r="AB64" s="10">
        <v>22.07</v>
      </c>
      <c r="AC64" s="10">
        <v>48.54</v>
      </c>
      <c r="AD64" s="10">
        <v>44</v>
      </c>
      <c r="AE64" s="10">
        <v>144</v>
      </c>
      <c r="AF64" s="10">
        <v>13.27</v>
      </c>
      <c r="AG64" s="10">
        <v>34.15</v>
      </c>
      <c r="AH64" s="10">
        <v>47.2</v>
      </c>
      <c r="AI64" s="10">
        <v>123.76</v>
      </c>
      <c r="AJ64" s="10">
        <v>204</v>
      </c>
      <c r="AK64" s="10">
        <v>538</v>
      </c>
      <c r="AL64" s="10">
        <v>192.73</v>
      </c>
      <c r="AM64" s="10">
        <v>609.16</v>
      </c>
      <c r="AN64" s="10">
        <v>11</v>
      </c>
      <c r="AO64" s="10">
        <v>41</v>
      </c>
      <c r="AP64" s="10"/>
      <c r="AQ64" s="10">
        <v>1</v>
      </c>
      <c r="AR64" s="10">
        <v>233</v>
      </c>
      <c r="AS64" s="10">
        <v>517</v>
      </c>
      <c r="AT64" s="10">
        <v>98</v>
      </c>
      <c r="AU64" s="10">
        <v>382</v>
      </c>
      <c r="AV64" s="10">
        <v>2823</v>
      </c>
      <c r="AW64" s="10">
        <v>6121</v>
      </c>
      <c r="AX64" s="10">
        <v>89</v>
      </c>
      <c r="AY64" s="10">
        <v>179</v>
      </c>
      <c r="AZ64" s="10">
        <v>603</v>
      </c>
      <c r="BA64" s="10">
        <v>1547</v>
      </c>
      <c r="BB64" s="10">
        <v>325</v>
      </c>
      <c r="BC64" s="10">
        <v>837</v>
      </c>
      <c r="BD64" s="10">
        <v>799</v>
      </c>
      <c r="BE64" s="10">
        <v>3419</v>
      </c>
      <c r="BF64" s="10">
        <v>422</v>
      </c>
      <c r="BG64" s="10">
        <v>1276</v>
      </c>
      <c r="BH64" s="10">
        <v>478</v>
      </c>
      <c r="BI64" s="10">
        <v>1540</v>
      </c>
      <c r="BJ64" s="10">
        <v>214</v>
      </c>
      <c r="BK64" s="10">
        <v>2411</v>
      </c>
      <c r="BL64" s="63">
        <f t="shared" si="10"/>
        <v>14538.84</v>
      </c>
      <c r="BM64" s="63">
        <f t="shared" si="11"/>
        <v>41673.880000000005</v>
      </c>
    </row>
    <row r="65" spans="1:65" x14ac:dyDescent="0.25">
      <c r="A65" s="24" t="s">
        <v>296</v>
      </c>
      <c r="B65" s="92"/>
      <c r="C65" s="92"/>
      <c r="D65" s="92"/>
      <c r="E65" s="92"/>
      <c r="F65" s="9"/>
      <c r="G65" s="9"/>
      <c r="H65" s="92"/>
      <c r="I65" s="92"/>
      <c r="J65" s="92"/>
      <c r="K65" s="92"/>
      <c r="L65" s="92"/>
      <c r="M65" s="92"/>
      <c r="N65" s="76"/>
      <c r="O65" s="76"/>
      <c r="P65" s="92"/>
      <c r="Q65" s="92"/>
      <c r="R65" s="92"/>
      <c r="S65" s="92"/>
      <c r="T65" s="92"/>
      <c r="U65" s="92"/>
      <c r="V65" s="92"/>
      <c r="W65" s="92"/>
      <c r="X65" s="92">
        <v>1</v>
      </c>
      <c r="Y65" s="92">
        <v>1</v>
      </c>
      <c r="Z65" s="92">
        <v>1</v>
      </c>
      <c r="AA65" s="92">
        <v>300</v>
      </c>
      <c r="AB65" s="92"/>
      <c r="AC65" s="92"/>
      <c r="AD65" s="92"/>
      <c r="AE65" s="92"/>
      <c r="AF65" s="69"/>
      <c r="AG65" s="92"/>
      <c r="AH65" s="92"/>
      <c r="AI65" s="92"/>
      <c r="AJ65" s="92"/>
      <c r="AK65" s="92"/>
      <c r="AL65" s="76"/>
      <c r="AM65" s="76"/>
      <c r="AN65" s="92"/>
      <c r="AO65" s="92"/>
      <c r="AP65" s="92"/>
      <c r="AQ65" s="92"/>
      <c r="AR65" s="76"/>
      <c r="AS65" s="76"/>
      <c r="AT65" s="92">
        <v>5</v>
      </c>
      <c r="AU65" s="92">
        <v>55</v>
      </c>
      <c r="AV65" s="92"/>
      <c r="AW65" s="92"/>
      <c r="AX65" s="92"/>
      <c r="AY65" s="92"/>
      <c r="AZ65" s="92"/>
      <c r="BA65" s="92"/>
      <c r="BB65" s="92"/>
      <c r="BC65" s="92"/>
      <c r="BD65" s="92">
        <v>37</v>
      </c>
      <c r="BE65" s="92">
        <v>92</v>
      </c>
      <c r="BF65" s="92">
        <v>81</v>
      </c>
      <c r="BG65" s="92">
        <v>219</v>
      </c>
      <c r="BH65" s="92">
        <v>0</v>
      </c>
      <c r="BI65" s="92">
        <v>0</v>
      </c>
      <c r="BJ65" s="92"/>
      <c r="BK65" s="92"/>
      <c r="BL65" s="68">
        <f t="shared" si="10"/>
        <v>125</v>
      </c>
      <c r="BM65" s="68">
        <f t="shared" si="11"/>
        <v>667</v>
      </c>
    </row>
    <row r="66" spans="1:65" x14ac:dyDescent="0.25">
      <c r="A66" s="24" t="s">
        <v>297</v>
      </c>
      <c r="B66" s="92">
        <v>0</v>
      </c>
      <c r="C66" s="92">
        <v>2</v>
      </c>
      <c r="D66" s="92">
        <v>70</v>
      </c>
      <c r="E66" s="92">
        <v>114</v>
      </c>
      <c r="F66" s="9"/>
      <c r="G66" s="9"/>
      <c r="H66" s="92">
        <v>-43</v>
      </c>
      <c r="I66" s="92">
        <v>-129</v>
      </c>
      <c r="J66" s="92">
        <v>106</v>
      </c>
      <c r="K66" s="92">
        <v>344</v>
      </c>
      <c r="L66" s="92">
        <v>1446</v>
      </c>
      <c r="M66" s="92">
        <v>3198</v>
      </c>
      <c r="N66" s="76"/>
      <c r="O66" s="76"/>
      <c r="P66" s="92">
        <v>1.04</v>
      </c>
      <c r="Q66" s="92">
        <v>4.3499999999999996</v>
      </c>
      <c r="R66" s="92">
        <v>124.46</v>
      </c>
      <c r="S66" s="92">
        <v>183.38</v>
      </c>
      <c r="T66" s="92">
        <v>-66</v>
      </c>
      <c r="U66" s="92">
        <v>-817</v>
      </c>
      <c r="V66" s="92">
        <v>-3729</v>
      </c>
      <c r="W66" s="92">
        <v>-10211</v>
      </c>
      <c r="X66" s="92">
        <v>964</v>
      </c>
      <c r="Y66" s="92">
        <v>2257</v>
      </c>
      <c r="Z66" s="92">
        <v>21</v>
      </c>
      <c r="AA66" s="92">
        <v>67</v>
      </c>
      <c r="AB66" s="92">
        <v>69.459999999999994</v>
      </c>
      <c r="AC66" s="92">
        <v>161.19999999999999</v>
      </c>
      <c r="AD66" s="92">
        <v>4</v>
      </c>
      <c r="AE66" s="92">
        <v>12</v>
      </c>
      <c r="AF66" s="69">
        <v>-3.12</v>
      </c>
      <c r="AG66" s="92">
        <v>-5.43</v>
      </c>
      <c r="AH66" s="92">
        <v>2.83</v>
      </c>
      <c r="AI66" s="92">
        <v>26.19</v>
      </c>
      <c r="AJ66" s="92">
        <v>100</v>
      </c>
      <c r="AK66" s="92">
        <v>203</v>
      </c>
      <c r="AL66" s="92">
        <v>64.819999999999993</v>
      </c>
      <c r="AM66" s="92">
        <v>200.36</v>
      </c>
      <c r="AN66" s="92">
        <v>-14</v>
      </c>
      <c r="AO66" s="92">
        <v>-74</v>
      </c>
      <c r="AP66" s="92"/>
      <c r="AQ66" s="92">
        <v>2</v>
      </c>
      <c r="AR66" s="76">
        <v>592</v>
      </c>
      <c r="AS66" s="76">
        <v>1426</v>
      </c>
      <c r="AT66" s="92">
        <v>34</v>
      </c>
      <c r="AU66" s="92">
        <v>351</v>
      </c>
      <c r="AV66" s="92">
        <v>10778</v>
      </c>
      <c r="AW66" s="92">
        <v>13638</v>
      </c>
      <c r="AX66" s="92">
        <v>73</v>
      </c>
      <c r="AY66" s="92">
        <v>99</v>
      </c>
      <c r="AZ66" s="92">
        <v>229</v>
      </c>
      <c r="BA66" s="92">
        <v>573</v>
      </c>
      <c r="BB66" s="92">
        <v>24</v>
      </c>
      <c r="BC66" s="92">
        <v>76</v>
      </c>
      <c r="BD66" s="92">
        <v>84</v>
      </c>
      <c r="BE66" s="92">
        <v>805</v>
      </c>
      <c r="BF66" s="92">
        <v>134</v>
      </c>
      <c r="BG66" s="92">
        <v>327</v>
      </c>
      <c r="BH66" s="92">
        <v>434</v>
      </c>
      <c r="BI66" s="92">
        <v>2114</v>
      </c>
      <c r="BJ66" s="92">
        <v>-491</v>
      </c>
      <c r="BK66" s="92">
        <v>1774</v>
      </c>
      <c r="BL66" s="68">
        <f t="shared" si="10"/>
        <v>11009.49</v>
      </c>
      <c r="BM66" s="68">
        <f t="shared" si="11"/>
        <v>16721.05</v>
      </c>
    </row>
    <row r="67" spans="1:65" s="7" customFormat="1" x14ac:dyDescent="0.25">
      <c r="A67" s="10" t="s">
        <v>190</v>
      </c>
      <c r="B67" s="10">
        <v>4</v>
      </c>
      <c r="C67" s="10">
        <v>19</v>
      </c>
      <c r="D67" s="10">
        <v>337</v>
      </c>
      <c r="E67" s="10">
        <v>1282</v>
      </c>
      <c r="F67" s="10"/>
      <c r="G67" s="10"/>
      <c r="H67" s="10">
        <v>537</v>
      </c>
      <c r="I67" s="10">
        <v>1436</v>
      </c>
      <c r="J67" s="10">
        <v>1321</v>
      </c>
      <c r="K67" s="10">
        <v>3043</v>
      </c>
      <c r="L67" s="10">
        <v>445</v>
      </c>
      <c r="M67" s="10">
        <v>1819</v>
      </c>
      <c r="N67" s="10"/>
      <c r="O67" s="10"/>
      <c r="P67" s="10">
        <v>3.79</v>
      </c>
      <c r="Q67" s="10">
        <v>13.93</v>
      </c>
      <c r="R67" s="10">
        <v>127.28</v>
      </c>
      <c r="S67" s="10">
        <v>515.62</v>
      </c>
      <c r="T67" s="10">
        <v>43</v>
      </c>
      <c r="U67" s="10">
        <v>118</v>
      </c>
      <c r="V67" s="10">
        <v>-1536</v>
      </c>
      <c r="W67" s="10">
        <v>-4261</v>
      </c>
      <c r="X67" s="10">
        <v>-180</v>
      </c>
      <c r="Y67" s="10">
        <v>-242</v>
      </c>
      <c r="Z67" s="10">
        <v>250</v>
      </c>
      <c r="AA67" s="10">
        <v>1136</v>
      </c>
      <c r="AB67" s="10">
        <v>-47.39</v>
      </c>
      <c r="AC67" s="10">
        <v>-112.66</v>
      </c>
      <c r="AD67" s="10">
        <v>41</v>
      </c>
      <c r="AE67" s="10">
        <v>132</v>
      </c>
      <c r="AF67" s="10">
        <v>10.15</v>
      </c>
      <c r="AG67" s="10">
        <v>28.72</v>
      </c>
      <c r="AH67" s="10">
        <v>44.38</v>
      </c>
      <c r="AI67" s="10">
        <v>97.56</v>
      </c>
      <c r="AJ67" s="10">
        <v>104</v>
      </c>
      <c r="AK67" s="10">
        <v>336</v>
      </c>
      <c r="AL67" s="10">
        <v>127.91</v>
      </c>
      <c r="AM67" s="10">
        <v>408.8</v>
      </c>
      <c r="AN67" s="10">
        <v>-3</v>
      </c>
      <c r="AO67" s="10">
        <v>-33</v>
      </c>
      <c r="AP67" s="10"/>
      <c r="AQ67" s="10">
        <v>-1</v>
      </c>
      <c r="AR67" s="10">
        <v>-358</v>
      </c>
      <c r="AS67" s="10">
        <v>-909</v>
      </c>
      <c r="AT67" s="10">
        <v>69</v>
      </c>
      <c r="AU67" s="10">
        <v>87</v>
      </c>
      <c r="AV67" s="10">
        <v>-7954</v>
      </c>
      <c r="AW67" s="10">
        <v>-7517</v>
      </c>
      <c r="AX67" s="10">
        <v>16</v>
      </c>
      <c r="AY67" s="10">
        <v>80</v>
      </c>
      <c r="AZ67" s="10">
        <v>374</v>
      </c>
      <c r="BA67" s="10">
        <v>974</v>
      </c>
      <c r="BB67" s="10">
        <v>301</v>
      </c>
      <c r="BC67" s="10">
        <v>761</v>
      </c>
      <c r="BD67" s="10">
        <v>752</v>
      </c>
      <c r="BE67" s="10">
        <v>2706</v>
      </c>
      <c r="BF67" s="10">
        <v>369</v>
      </c>
      <c r="BG67" s="10">
        <v>1168</v>
      </c>
      <c r="BH67" s="10">
        <v>44</v>
      </c>
      <c r="BI67" s="10">
        <v>-574</v>
      </c>
      <c r="BJ67" s="10">
        <v>705</v>
      </c>
      <c r="BK67" s="10">
        <v>637</v>
      </c>
      <c r="BL67" s="63">
        <f t="shared" si="10"/>
        <v>-4052.8799999999992</v>
      </c>
      <c r="BM67" s="63">
        <f t="shared" si="11"/>
        <v>3148.9700000000003</v>
      </c>
    </row>
    <row r="68" spans="1:65" x14ac:dyDescent="0.25">
      <c r="A68" s="22"/>
      <c r="S68" s="71"/>
    </row>
    <row r="69" spans="1:65" x14ac:dyDescent="0.25">
      <c r="A69" s="23" t="s">
        <v>244</v>
      </c>
    </row>
    <row r="70" spans="1:65" x14ac:dyDescent="0.25">
      <c r="A70" s="3" t="s">
        <v>0</v>
      </c>
      <c r="B70" s="153" t="s">
        <v>1</v>
      </c>
      <c r="C70" s="154"/>
      <c r="D70" s="153" t="s">
        <v>234</v>
      </c>
      <c r="E70" s="154"/>
      <c r="F70" s="153" t="s">
        <v>2</v>
      </c>
      <c r="G70" s="154"/>
      <c r="H70" s="153" t="s">
        <v>3</v>
      </c>
      <c r="I70" s="154"/>
      <c r="J70" s="153" t="s">
        <v>243</v>
      </c>
      <c r="K70" s="154"/>
      <c r="L70" s="153" t="s">
        <v>235</v>
      </c>
      <c r="M70" s="154"/>
      <c r="N70" s="153" t="s">
        <v>5</v>
      </c>
      <c r="O70" s="154"/>
      <c r="P70" s="153" t="s">
        <v>4</v>
      </c>
      <c r="Q70" s="154"/>
      <c r="R70" s="153" t="s">
        <v>6</v>
      </c>
      <c r="S70" s="154"/>
      <c r="T70" s="153" t="s">
        <v>246</v>
      </c>
      <c r="U70" s="154"/>
      <c r="V70" s="153" t="s">
        <v>7</v>
      </c>
      <c r="W70" s="154"/>
      <c r="X70" s="153" t="s">
        <v>8</v>
      </c>
      <c r="Y70" s="154"/>
      <c r="Z70" s="153" t="s">
        <v>9</v>
      </c>
      <c r="AA70" s="154"/>
      <c r="AB70" s="153" t="s">
        <v>242</v>
      </c>
      <c r="AC70" s="154"/>
      <c r="AD70" s="153" t="s">
        <v>10</v>
      </c>
      <c r="AE70" s="154"/>
      <c r="AF70" s="153" t="s">
        <v>11</v>
      </c>
      <c r="AG70" s="154"/>
      <c r="AH70" s="153" t="s">
        <v>236</v>
      </c>
      <c r="AI70" s="154"/>
      <c r="AJ70" s="153" t="s">
        <v>245</v>
      </c>
      <c r="AK70" s="154"/>
      <c r="AL70" s="153" t="s">
        <v>12</v>
      </c>
      <c r="AM70" s="154"/>
      <c r="AN70" s="153" t="s">
        <v>237</v>
      </c>
      <c r="AO70" s="154"/>
      <c r="AP70" s="153" t="s">
        <v>238</v>
      </c>
      <c r="AQ70" s="154"/>
      <c r="AR70" s="153" t="s">
        <v>241</v>
      </c>
      <c r="AS70" s="154"/>
      <c r="AT70" s="153" t="s">
        <v>13</v>
      </c>
      <c r="AU70" s="154"/>
      <c r="AV70" s="153" t="s">
        <v>14</v>
      </c>
      <c r="AW70" s="154"/>
      <c r="AX70" s="153" t="s">
        <v>15</v>
      </c>
      <c r="AY70" s="154"/>
      <c r="AZ70" s="153" t="s">
        <v>16</v>
      </c>
      <c r="BA70" s="154"/>
      <c r="BB70" s="153" t="s">
        <v>17</v>
      </c>
      <c r="BC70" s="154"/>
      <c r="BD70" s="153" t="s">
        <v>239</v>
      </c>
      <c r="BE70" s="154"/>
      <c r="BF70" s="153" t="s">
        <v>240</v>
      </c>
      <c r="BG70" s="154"/>
      <c r="BH70" s="153" t="s">
        <v>18</v>
      </c>
      <c r="BI70" s="154"/>
      <c r="BJ70" s="153" t="s">
        <v>19</v>
      </c>
      <c r="BK70" s="154"/>
      <c r="BL70" s="155" t="s">
        <v>20</v>
      </c>
      <c r="BM70" s="156"/>
    </row>
    <row r="71" spans="1:65" ht="30" x14ac:dyDescent="0.25">
      <c r="A71" s="3"/>
      <c r="B71" s="53" t="s">
        <v>303</v>
      </c>
      <c r="C71" s="54" t="s">
        <v>302</v>
      </c>
      <c r="D71" s="53" t="s">
        <v>303</v>
      </c>
      <c r="E71" s="54" t="s">
        <v>302</v>
      </c>
      <c r="F71" s="53" t="s">
        <v>303</v>
      </c>
      <c r="G71" s="54" t="s">
        <v>302</v>
      </c>
      <c r="H71" s="53" t="s">
        <v>303</v>
      </c>
      <c r="I71" s="54" t="s">
        <v>302</v>
      </c>
      <c r="J71" s="53" t="s">
        <v>303</v>
      </c>
      <c r="K71" s="54" t="s">
        <v>302</v>
      </c>
      <c r="L71" s="53" t="s">
        <v>303</v>
      </c>
      <c r="M71" s="54" t="s">
        <v>302</v>
      </c>
      <c r="N71" s="53" t="s">
        <v>303</v>
      </c>
      <c r="O71" s="54" t="s">
        <v>302</v>
      </c>
      <c r="P71" s="53" t="s">
        <v>303</v>
      </c>
      <c r="Q71" s="54" t="s">
        <v>302</v>
      </c>
      <c r="R71" s="53" t="s">
        <v>303</v>
      </c>
      <c r="S71" s="54" t="s">
        <v>302</v>
      </c>
      <c r="T71" s="53" t="s">
        <v>303</v>
      </c>
      <c r="U71" s="54" t="s">
        <v>302</v>
      </c>
      <c r="V71" s="53" t="s">
        <v>303</v>
      </c>
      <c r="W71" s="54" t="s">
        <v>302</v>
      </c>
      <c r="X71" s="53" t="s">
        <v>303</v>
      </c>
      <c r="Y71" s="54" t="s">
        <v>302</v>
      </c>
      <c r="Z71" s="53" t="s">
        <v>303</v>
      </c>
      <c r="AA71" s="54" t="s">
        <v>302</v>
      </c>
      <c r="AB71" s="53" t="s">
        <v>303</v>
      </c>
      <c r="AC71" s="54" t="s">
        <v>302</v>
      </c>
      <c r="AD71" s="53" t="s">
        <v>303</v>
      </c>
      <c r="AE71" s="54" t="s">
        <v>302</v>
      </c>
      <c r="AF71" s="53" t="s">
        <v>303</v>
      </c>
      <c r="AG71" s="54" t="s">
        <v>302</v>
      </c>
      <c r="AH71" s="53" t="s">
        <v>303</v>
      </c>
      <c r="AI71" s="54" t="s">
        <v>302</v>
      </c>
      <c r="AJ71" s="53" t="s">
        <v>303</v>
      </c>
      <c r="AK71" s="54" t="s">
        <v>302</v>
      </c>
      <c r="AL71" s="53" t="s">
        <v>303</v>
      </c>
      <c r="AM71" s="54" t="s">
        <v>302</v>
      </c>
      <c r="AN71" s="53" t="s">
        <v>303</v>
      </c>
      <c r="AO71" s="54" t="s">
        <v>302</v>
      </c>
      <c r="AP71" s="53" t="s">
        <v>303</v>
      </c>
      <c r="AQ71" s="54" t="s">
        <v>302</v>
      </c>
      <c r="AR71" s="53" t="s">
        <v>303</v>
      </c>
      <c r="AS71" s="54" t="s">
        <v>302</v>
      </c>
      <c r="AT71" s="53" t="s">
        <v>303</v>
      </c>
      <c r="AU71" s="54" t="s">
        <v>302</v>
      </c>
      <c r="AV71" s="53" t="s">
        <v>303</v>
      </c>
      <c r="AW71" s="54" t="s">
        <v>302</v>
      </c>
      <c r="AX71" s="53" t="s">
        <v>303</v>
      </c>
      <c r="AY71" s="54" t="s">
        <v>302</v>
      </c>
      <c r="AZ71" s="53" t="s">
        <v>303</v>
      </c>
      <c r="BA71" s="54" t="s">
        <v>302</v>
      </c>
      <c r="BB71" s="53" t="s">
        <v>303</v>
      </c>
      <c r="BC71" s="54" t="s">
        <v>302</v>
      </c>
      <c r="BD71" s="53" t="s">
        <v>303</v>
      </c>
      <c r="BE71" s="54" t="s">
        <v>302</v>
      </c>
      <c r="BF71" s="53" t="s">
        <v>303</v>
      </c>
      <c r="BG71" s="54" t="s">
        <v>302</v>
      </c>
      <c r="BH71" s="53" t="s">
        <v>303</v>
      </c>
      <c r="BI71" s="54" t="s">
        <v>302</v>
      </c>
      <c r="BJ71" s="53" t="s">
        <v>303</v>
      </c>
      <c r="BK71" s="54" t="s">
        <v>302</v>
      </c>
      <c r="BL71" s="105" t="s">
        <v>303</v>
      </c>
      <c r="BM71" s="106" t="s">
        <v>302</v>
      </c>
    </row>
    <row r="72" spans="1:65" x14ac:dyDescent="0.25">
      <c r="A72" s="24" t="s">
        <v>292</v>
      </c>
      <c r="B72" s="9"/>
      <c r="C72" s="9"/>
      <c r="D72" s="9"/>
      <c r="E72" s="9"/>
      <c r="F72" s="92">
        <v>2376</v>
      </c>
      <c r="G72" s="92">
        <v>3797</v>
      </c>
      <c r="H72" s="76"/>
      <c r="I72" s="76"/>
      <c r="J72" s="76"/>
      <c r="K72" s="76"/>
      <c r="L72" s="9"/>
      <c r="M72" s="9"/>
      <c r="N72" s="9"/>
      <c r="O72" s="9"/>
      <c r="P72" s="76"/>
      <c r="Q72" s="76"/>
      <c r="R72" s="76"/>
      <c r="S72" s="76"/>
      <c r="T72" s="76"/>
      <c r="U72" s="76"/>
      <c r="V72" s="92">
        <v>107</v>
      </c>
      <c r="W72" s="92">
        <v>617</v>
      </c>
      <c r="X72" s="92">
        <v>1</v>
      </c>
      <c r="Y72" s="92">
        <v>1</v>
      </c>
      <c r="Z72" s="9"/>
      <c r="AA72" s="9"/>
      <c r="AB72" s="76"/>
      <c r="AC72" s="76"/>
      <c r="AD72" s="76"/>
      <c r="AE72" s="76"/>
      <c r="AF72" s="69"/>
      <c r="AG72" s="9"/>
      <c r="AH72" s="9"/>
      <c r="AI72" s="9"/>
      <c r="AJ72" s="9"/>
      <c r="AK72" s="9"/>
      <c r="AL72" s="9"/>
      <c r="AM72" s="9"/>
      <c r="AN72" s="76"/>
      <c r="AO72" s="76"/>
      <c r="AP72" s="9"/>
      <c r="AQ72" s="9"/>
      <c r="AR72" s="9"/>
      <c r="AS72" s="9"/>
      <c r="AT72" s="76"/>
      <c r="AU72" s="76"/>
      <c r="AV72" s="76"/>
      <c r="AW72" s="76"/>
      <c r="AX72" s="76"/>
      <c r="AY72" s="76"/>
      <c r="AZ72" s="9"/>
      <c r="BA72" s="9"/>
      <c r="BB72" s="92">
        <v>3</v>
      </c>
      <c r="BC72" s="92">
        <v>12</v>
      </c>
      <c r="BD72" s="76"/>
      <c r="BE72" s="76"/>
      <c r="BF72" s="92">
        <v>1933</v>
      </c>
      <c r="BG72" s="92">
        <v>1656</v>
      </c>
      <c r="BH72" s="9"/>
      <c r="BI72" s="9"/>
      <c r="BJ72" s="9"/>
      <c r="BK72" s="9"/>
      <c r="BL72" s="68">
        <f t="shared" ref="BL72:BL78" si="12">SUM(B72+D72+F72+H72+J72+L72+N72+P72+R72+T72+V72+X72+Z72+AB72+AD72+AF72+AH72+AJ72+AL72+AN72+AP72+AR72+AT72+AV72+AX72+AZ72+BB72+BD72+BF72+BH72+BJ72)</f>
        <v>4420</v>
      </c>
      <c r="BM72" s="68">
        <f t="shared" ref="BM72:BM78" si="13">SUM(C72+E72+G72+I72+K72+M72+O72+Q72+S72+U72+W72+Y72+AA72+AC72+AE72+AG72+AI72+AK72+AM72+AO72+AQ72+AS72+AU72+AW72+AY72+BA72+BC72+BE72+BG72+BI72+BK72)</f>
        <v>6083</v>
      </c>
    </row>
    <row r="73" spans="1:65" s="71" customFormat="1" x14ac:dyDescent="0.25">
      <c r="A73" s="24" t="s">
        <v>293</v>
      </c>
      <c r="B73" s="92"/>
      <c r="C73" s="92"/>
      <c r="D73" s="92"/>
      <c r="E73" s="92"/>
      <c r="F73" s="92">
        <v>0</v>
      </c>
      <c r="G73" s="92">
        <v>0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>
        <v>0</v>
      </c>
      <c r="Y73" s="92">
        <v>0</v>
      </c>
      <c r="Z73" s="92"/>
      <c r="AA73" s="92"/>
      <c r="AB73" s="92"/>
      <c r="AC73" s="92"/>
      <c r="AD73" s="92"/>
      <c r="AE73" s="92"/>
      <c r="AF73" s="69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>
        <v>1</v>
      </c>
      <c r="BC73" s="92">
        <v>1</v>
      </c>
      <c r="BD73" s="92"/>
      <c r="BE73" s="92"/>
      <c r="BF73" s="92">
        <v>0</v>
      </c>
      <c r="BG73" s="92"/>
      <c r="BH73" s="92"/>
      <c r="BI73" s="92"/>
      <c r="BJ73" s="92"/>
      <c r="BK73" s="92"/>
      <c r="BL73" s="68">
        <f t="shared" si="12"/>
        <v>1</v>
      </c>
      <c r="BM73" s="68">
        <f t="shared" si="13"/>
        <v>1</v>
      </c>
    </row>
    <row r="74" spans="1:65" s="71" customFormat="1" x14ac:dyDescent="0.25">
      <c r="A74" s="24" t="s">
        <v>294</v>
      </c>
      <c r="B74" s="92"/>
      <c r="C74" s="92"/>
      <c r="D74" s="92"/>
      <c r="E74" s="92"/>
      <c r="F74" s="92">
        <v>0</v>
      </c>
      <c r="G74" s="92">
        <v>0</v>
      </c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>
        <v>0</v>
      </c>
      <c r="Y74" s="92">
        <v>0</v>
      </c>
      <c r="Z74" s="92"/>
      <c r="AA74" s="92"/>
      <c r="AB74" s="92"/>
      <c r="AC74" s="92"/>
      <c r="AD74" s="92"/>
      <c r="AE74" s="92"/>
      <c r="AF74" s="69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>
        <v>0</v>
      </c>
      <c r="BG74" s="92"/>
      <c r="BH74" s="92"/>
      <c r="BI74" s="92"/>
      <c r="BJ74" s="92"/>
      <c r="BK74" s="92"/>
      <c r="BL74" s="68">
        <f t="shared" si="12"/>
        <v>0</v>
      </c>
      <c r="BM74" s="68">
        <f t="shared" si="13"/>
        <v>0</v>
      </c>
    </row>
    <row r="75" spans="1:65" s="7" customFormat="1" x14ac:dyDescent="0.25">
      <c r="A75" s="10" t="s">
        <v>295</v>
      </c>
      <c r="B75" s="10"/>
      <c r="C75" s="10"/>
      <c r="D75" s="10"/>
      <c r="E75" s="10"/>
      <c r="F75" s="10">
        <v>2376</v>
      </c>
      <c r="G75" s="10">
        <v>3797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>
        <v>107</v>
      </c>
      <c r="W75" s="10">
        <v>617</v>
      </c>
      <c r="X75" s="10">
        <v>1</v>
      </c>
      <c r="Y75" s="10">
        <v>1</v>
      </c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-46</v>
      </c>
      <c r="AM75" s="10">
        <v>-379</v>
      </c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>
        <v>4</v>
      </c>
      <c r="BC75" s="10">
        <v>13</v>
      </c>
      <c r="BD75" s="10">
        <v>-1028</v>
      </c>
      <c r="BE75" s="10">
        <v>-657</v>
      </c>
      <c r="BF75" s="10">
        <v>1933</v>
      </c>
      <c r="BG75" s="10">
        <v>1656</v>
      </c>
      <c r="BH75" s="10">
        <v>-2</v>
      </c>
      <c r="BI75" s="10">
        <v>425</v>
      </c>
      <c r="BJ75" s="10"/>
      <c r="BK75" s="10"/>
      <c r="BL75" s="63">
        <f t="shared" si="12"/>
        <v>3345</v>
      </c>
      <c r="BM75" s="63">
        <f t="shared" si="13"/>
        <v>5473</v>
      </c>
    </row>
    <row r="76" spans="1:65" x14ac:dyDescent="0.25">
      <c r="A76" s="24" t="s">
        <v>296</v>
      </c>
      <c r="B76" s="9"/>
      <c r="C76" s="9"/>
      <c r="D76" s="9"/>
      <c r="E76" s="9"/>
      <c r="F76" s="92">
        <v>0</v>
      </c>
      <c r="G76" s="92">
        <v>0</v>
      </c>
      <c r="H76" s="76"/>
      <c r="I76" s="76"/>
      <c r="J76" s="76"/>
      <c r="K76" s="76"/>
      <c r="L76" s="9"/>
      <c r="M76" s="9"/>
      <c r="N76" s="9"/>
      <c r="O76" s="9"/>
      <c r="P76" s="76"/>
      <c r="Q76" s="76"/>
      <c r="R76" s="76"/>
      <c r="S76" s="76"/>
      <c r="T76" s="92">
        <v>6</v>
      </c>
      <c r="U76" s="92">
        <v>48</v>
      </c>
      <c r="V76" s="92"/>
      <c r="W76" s="92"/>
      <c r="X76" s="92">
        <v>0</v>
      </c>
      <c r="Y76" s="92">
        <v>0</v>
      </c>
      <c r="Z76" s="9"/>
      <c r="AA76" s="9"/>
      <c r="AB76" s="76"/>
      <c r="AC76" s="76"/>
      <c r="AD76" s="76"/>
      <c r="AE76" s="76"/>
      <c r="AF76" s="69"/>
      <c r="AG76" s="9"/>
      <c r="AH76" s="9"/>
      <c r="AI76" s="9"/>
      <c r="AJ76" s="9"/>
      <c r="AK76" s="9"/>
      <c r="AL76" s="92"/>
      <c r="AM76" s="92"/>
      <c r="AN76" s="76"/>
      <c r="AO76" s="76"/>
      <c r="AP76" s="9"/>
      <c r="AQ76" s="9"/>
      <c r="AR76" s="9"/>
      <c r="AS76" s="9"/>
      <c r="AT76" s="76"/>
      <c r="AU76" s="76"/>
      <c r="AV76" s="76"/>
      <c r="AW76" s="76"/>
      <c r="AX76" s="76"/>
      <c r="AY76" s="76"/>
      <c r="AZ76" s="9"/>
      <c r="BA76" s="9"/>
      <c r="BB76" s="92"/>
      <c r="BC76" s="92"/>
      <c r="BD76" s="92">
        <v>4</v>
      </c>
      <c r="BE76" s="92">
        <v>47</v>
      </c>
      <c r="BF76" s="92">
        <v>2</v>
      </c>
      <c r="BG76" s="92">
        <v>28</v>
      </c>
      <c r="BH76" s="92">
        <v>0</v>
      </c>
      <c r="BI76" s="92">
        <v>0</v>
      </c>
      <c r="BJ76" s="9"/>
      <c r="BK76" s="9"/>
      <c r="BL76" s="68">
        <f t="shared" si="12"/>
        <v>12</v>
      </c>
      <c r="BM76" s="68">
        <f t="shared" si="13"/>
        <v>123</v>
      </c>
    </row>
    <row r="77" spans="1:65" x14ac:dyDescent="0.25">
      <c r="A77" s="24" t="s">
        <v>297</v>
      </c>
      <c r="B77" s="76"/>
      <c r="C77" s="76"/>
      <c r="D77" s="9"/>
      <c r="E77" s="9"/>
      <c r="F77" s="92">
        <v>2754</v>
      </c>
      <c r="G77" s="92">
        <v>18534</v>
      </c>
      <c r="H77" s="92">
        <v>-1087</v>
      </c>
      <c r="I77" s="92">
        <v>-8789</v>
      </c>
      <c r="J77" s="76"/>
      <c r="K77" s="76"/>
      <c r="L77" s="92">
        <v>1</v>
      </c>
      <c r="M77" s="92">
        <v>3</v>
      </c>
      <c r="N77" s="9"/>
      <c r="O77" s="9"/>
      <c r="P77" s="76"/>
      <c r="Q77" s="76"/>
      <c r="R77" s="92">
        <v>796.29</v>
      </c>
      <c r="S77" s="92">
        <v>3514.67</v>
      </c>
      <c r="T77" s="92">
        <v>-10</v>
      </c>
      <c r="U77" s="92">
        <v>-51</v>
      </c>
      <c r="V77" s="92">
        <v>-960</v>
      </c>
      <c r="W77" s="92">
        <v>-10504</v>
      </c>
      <c r="X77" s="92">
        <v>826</v>
      </c>
      <c r="Y77" s="92">
        <v>3451</v>
      </c>
      <c r="Z77" s="92">
        <v>554</v>
      </c>
      <c r="AA77" s="92">
        <v>3622</v>
      </c>
      <c r="AB77" s="76"/>
      <c r="AC77" s="76"/>
      <c r="AD77" s="76"/>
      <c r="AE77" s="76"/>
      <c r="AF77" s="69"/>
      <c r="AG77" s="9"/>
      <c r="AH77" s="9"/>
      <c r="AI77" s="9"/>
      <c r="AJ77" s="9"/>
      <c r="AK77" s="9"/>
      <c r="AL77" s="92">
        <v>4.2</v>
      </c>
      <c r="AM77" s="92">
        <v>51</v>
      </c>
      <c r="AN77" s="76"/>
      <c r="AO77" s="76"/>
      <c r="AP77" s="9"/>
      <c r="AQ77" s="9"/>
      <c r="AR77" s="9">
        <v>2624</v>
      </c>
      <c r="AS77" s="9">
        <v>10076</v>
      </c>
      <c r="AT77" s="76"/>
      <c r="AU77" s="76"/>
      <c r="AV77" s="92">
        <v>229</v>
      </c>
      <c r="AW77" s="92">
        <v>4973</v>
      </c>
      <c r="AX77" s="76"/>
      <c r="AY77" s="76"/>
      <c r="AZ77" s="9"/>
      <c r="BA77" s="9"/>
      <c r="BB77" s="92">
        <v>7</v>
      </c>
      <c r="BC77" s="92">
        <v>35</v>
      </c>
      <c r="BD77" s="92">
        <v>46</v>
      </c>
      <c r="BE77" s="92">
        <v>253</v>
      </c>
      <c r="BF77" s="92">
        <v>50</v>
      </c>
      <c r="BG77" s="92">
        <v>-1271</v>
      </c>
      <c r="BH77" s="92">
        <v>-144</v>
      </c>
      <c r="BI77" s="92">
        <v>-1281</v>
      </c>
      <c r="BJ77" s="92">
        <v>1574</v>
      </c>
      <c r="BK77" s="92">
        <v>4019</v>
      </c>
      <c r="BL77" s="68">
        <f t="shared" si="12"/>
        <v>7264.49</v>
      </c>
      <c r="BM77" s="68">
        <f t="shared" si="13"/>
        <v>26635.67</v>
      </c>
    </row>
    <row r="78" spans="1:65" s="7" customFormat="1" x14ac:dyDescent="0.25">
      <c r="A78" s="10" t="s">
        <v>190</v>
      </c>
      <c r="B78" s="10"/>
      <c r="C78" s="10"/>
      <c r="D78" s="10"/>
      <c r="E78" s="10"/>
      <c r="F78" s="10">
        <v>-378</v>
      </c>
      <c r="G78" s="10">
        <v>-14737</v>
      </c>
      <c r="H78" s="10">
        <v>-1087</v>
      </c>
      <c r="I78" s="10">
        <v>-8788</v>
      </c>
      <c r="J78" s="10"/>
      <c r="K78" s="10"/>
      <c r="L78" s="10">
        <v>-1</v>
      </c>
      <c r="M78" s="10">
        <v>-3</v>
      </c>
      <c r="N78" s="10"/>
      <c r="O78" s="10"/>
      <c r="P78" s="10"/>
      <c r="Q78" s="10"/>
      <c r="R78" s="10">
        <v>-796.29</v>
      </c>
      <c r="S78" s="10">
        <v>-3514.67</v>
      </c>
      <c r="T78" s="10">
        <v>-4</v>
      </c>
      <c r="U78" s="10">
        <v>-3</v>
      </c>
      <c r="V78" s="10">
        <v>-853</v>
      </c>
      <c r="W78" s="10">
        <v>-9887</v>
      </c>
      <c r="X78" s="10">
        <v>-825</v>
      </c>
      <c r="Y78" s="10">
        <v>-3450</v>
      </c>
      <c r="Z78" s="10">
        <v>-554</v>
      </c>
      <c r="AA78" s="10">
        <v>-3622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-50.07</v>
      </c>
      <c r="AM78" s="10">
        <v>-429.25</v>
      </c>
      <c r="AN78" s="10"/>
      <c r="AO78" s="10"/>
      <c r="AP78" s="10"/>
      <c r="AQ78" s="10"/>
      <c r="AR78" s="10">
        <v>-2624</v>
      </c>
      <c r="AS78" s="10">
        <v>-10076</v>
      </c>
      <c r="AT78" s="10"/>
      <c r="AU78" s="10"/>
      <c r="AV78" s="10">
        <v>-229</v>
      </c>
      <c r="AW78" s="10">
        <v>-4973</v>
      </c>
      <c r="AX78" s="10"/>
      <c r="AY78" s="10"/>
      <c r="AZ78" s="10"/>
      <c r="BA78" s="10"/>
      <c r="BB78" s="10">
        <v>-3</v>
      </c>
      <c r="BC78" s="10">
        <v>-23</v>
      </c>
      <c r="BD78" s="10">
        <v>-1070</v>
      </c>
      <c r="BE78" s="10">
        <v>-862</v>
      </c>
      <c r="BF78" s="10">
        <v>1886</v>
      </c>
      <c r="BG78" s="10">
        <v>2955</v>
      </c>
      <c r="BH78" s="10">
        <v>142</v>
      </c>
      <c r="BI78" s="10">
        <v>1705</v>
      </c>
      <c r="BJ78" s="10">
        <v>-1574</v>
      </c>
      <c r="BK78" s="10">
        <v>-4019</v>
      </c>
      <c r="BL78" s="63">
        <f t="shared" si="12"/>
        <v>-8020.3600000000006</v>
      </c>
      <c r="BM78" s="63">
        <f t="shared" si="13"/>
        <v>-59726.92</v>
      </c>
    </row>
    <row r="79" spans="1:65" x14ac:dyDescent="0.25">
      <c r="A79" s="25"/>
    </row>
    <row r="80" spans="1:65" x14ac:dyDescent="0.25">
      <c r="A80" s="26" t="s">
        <v>188</v>
      </c>
    </row>
    <row r="81" spans="1:65" x14ac:dyDescent="0.25">
      <c r="A81" s="3" t="s">
        <v>0</v>
      </c>
      <c r="B81" s="153" t="s">
        <v>1</v>
      </c>
      <c r="C81" s="154"/>
      <c r="D81" s="153" t="s">
        <v>234</v>
      </c>
      <c r="E81" s="154"/>
      <c r="F81" s="153" t="s">
        <v>2</v>
      </c>
      <c r="G81" s="154"/>
      <c r="H81" s="153" t="s">
        <v>3</v>
      </c>
      <c r="I81" s="154"/>
      <c r="J81" s="153" t="s">
        <v>243</v>
      </c>
      <c r="K81" s="154"/>
      <c r="L81" s="153" t="s">
        <v>235</v>
      </c>
      <c r="M81" s="154"/>
      <c r="N81" s="153" t="s">
        <v>5</v>
      </c>
      <c r="O81" s="154"/>
      <c r="P81" s="153" t="s">
        <v>4</v>
      </c>
      <c r="Q81" s="154"/>
      <c r="R81" s="153" t="s">
        <v>6</v>
      </c>
      <c r="S81" s="154"/>
      <c r="T81" s="153" t="s">
        <v>246</v>
      </c>
      <c r="U81" s="154"/>
      <c r="V81" s="153" t="s">
        <v>7</v>
      </c>
      <c r="W81" s="154"/>
      <c r="X81" s="153" t="s">
        <v>8</v>
      </c>
      <c r="Y81" s="154"/>
      <c r="Z81" s="153" t="s">
        <v>9</v>
      </c>
      <c r="AA81" s="154"/>
      <c r="AB81" s="153" t="s">
        <v>242</v>
      </c>
      <c r="AC81" s="154"/>
      <c r="AD81" s="153" t="s">
        <v>10</v>
      </c>
      <c r="AE81" s="154"/>
      <c r="AF81" s="153" t="s">
        <v>11</v>
      </c>
      <c r="AG81" s="154"/>
      <c r="AH81" s="153" t="s">
        <v>236</v>
      </c>
      <c r="AI81" s="154"/>
      <c r="AJ81" s="153" t="s">
        <v>245</v>
      </c>
      <c r="AK81" s="154"/>
      <c r="AL81" s="153" t="s">
        <v>12</v>
      </c>
      <c r="AM81" s="154"/>
      <c r="AN81" s="153" t="s">
        <v>237</v>
      </c>
      <c r="AO81" s="154"/>
      <c r="AP81" s="153" t="s">
        <v>238</v>
      </c>
      <c r="AQ81" s="154"/>
      <c r="AR81" s="153" t="s">
        <v>241</v>
      </c>
      <c r="AS81" s="154"/>
      <c r="AT81" s="153" t="s">
        <v>13</v>
      </c>
      <c r="AU81" s="154"/>
      <c r="AV81" s="153" t="s">
        <v>14</v>
      </c>
      <c r="AW81" s="154"/>
      <c r="AX81" s="153" t="s">
        <v>15</v>
      </c>
      <c r="AY81" s="154"/>
      <c r="AZ81" s="153" t="s">
        <v>16</v>
      </c>
      <c r="BA81" s="154"/>
      <c r="BB81" s="153" t="s">
        <v>17</v>
      </c>
      <c r="BC81" s="154"/>
      <c r="BD81" s="153" t="s">
        <v>239</v>
      </c>
      <c r="BE81" s="154"/>
      <c r="BF81" s="153" t="s">
        <v>240</v>
      </c>
      <c r="BG81" s="154"/>
      <c r="BH81" s="153" t="s">
        <v>18</v>
      </c>
      <c r="BI81" s="154"/>
      <c r="BJ81" s="153" t="s">
        <v>19</v>
      </c>
      <c r="BK81" s="154"/>
      <c r="BL81" s="155" t="s">
        <v>20</v>
      </c>
      <c r="BM81" s="156"/>
    </row>
    <row r="82" spans="1:65" ht="30" x14ac:dyDescent="0.25">
      <c r="A82" s="3"/>
      <c r="B82" s="53" t="s">
        <v>303</v>
      </c>
      <c r="C82" s="54" t="s">
        <v>302</v>
      </c>
      <c r="D82" s="53" t="s">
        <v>303</v>
      </c>
      <c r="E82" s="54" t="s">
        <v>302</v>
      </c>
      <c r="F82" s="53" t="s">
        <v>303</v>
      </c>
      <c r="G82" s="54" t="s">
        <v>302</v>
      </c>
      <c r="H82" s="53" t="s">
        <v>303</v>
      </c>
      <c r="I82" s="54" t="s">
        <v>302</v>
      </c>
      <c r="J82" s="53" t="s">
        <v>303</v>
      </c>
      <c r="K82" s="54" t="s">
        <v>302</v>
      </c>
      <c r="L82" s="53" t="s">
        <v>303</v>
      </c>
      <c r="M82" s="54" t="s">
        <v>302</v>
      </c>
      <c r="N82" s="53" t="s">
        <v>303</v>
      </c>
      <c r="O82" s="54" t="s">
        <v>302</v>
      </c>
      <c r="P82" s="53" t="s">
        <v>303</v>
      </c>
      <c r="Q82" s="54" t="s">
        <v>302</v>
      </c>
      <c r="R82" s="53" t="s">
        <v>303</v>
      </c>
      <c r="S82" s="54" t="s">
        <v>302</v>
      </c>
      <c r="T82" s="53" t="s">
        <v>303</v>
      </c>
      <c r="U82" s="54" t="s">
        <v>302</v>
      </c>
      <c r="V82" s="53" t="s">
        <v>303</v>
      </c>
      <c r="W82" s="54" t="s">
        <v>302</v>
      </c>
      <c r="X82" s="53" t="s">
        <v>303</v>
      </c>
      <c r="Y82" s="54" t="s">
        <v>302</v>
      </c>
      <c r="Z82" s="53" t="s">
        <v>303</v>
      </c>
      <c r="AA82" s="54" t="s">
        <v>302</v>
      </c>
      <c r="AB82" s="53" t="s">
        <v>303</v>
      </c>
      <c r="AC82" s="54" t="s">
        <v>302</v>
      </c>
      <c r="AD82" s="53" t="s">
        <v>303</v>
      </c>
      <c r="AE82" s="54" t="s">
        <v>302</v>
      </c>
      <c r="AF82" s="53" t="s">
        <v>303</v>
      </c>
      <c r="AG82" s="54" t="s">
        <v>302</v>
      </c>
      <c r="AH82" s="53" t="s">
        <v>303</v>
      </c>
      <c r="AI82" s="54" t="s">
        <v>302</v>
      </c>
      <c r="AJ82" s="53" t="s">
        <v>303</v>
      </c>
      <c r="AK82" s="54" t="s">
        <v>302</v>
      </c>
      <c r="AL82" s="53" t="s">
        <v>303</v>
      </c>
      <c r="AM82" s="54" t="s">
        <v>302</v>
      </c>
      <c r="AN82" s="53" t="s">
        <v>303</v>
      </c>
      <c r="AO82" s="54" t="s">
        <v>302</v>
      </c>
      <c r="AP82" s="53" t="s">
        <v>303</v>
      </c>
      <c r="AQ82" s="54" t="s">
        <v>302</v>
      </c>
      <c r="AR82" s="53" t="s">
        <v>303</v>
      </c>
      <c r="AS82" s="54" t="s">
        <v>302</v>
      </c>
      <c r="AT82" s="53" t="s">
        <v>303</v>
      </c>
      <c r="AU82" s="54" t="s">
        <v>302</v>
      </c>
      <c r="AV82" s="53" t="s">
        <v>303</v>
      </c>
      <c r="AW82" s="54" t="s">
        <v>302</v>
      </c>
      <c r="AX82" s="53" t="s">
        <v>303</v>
      </c>
      <c r="AY82" s="54" t="s">
        <v>302</v>
      </c>
      <c r="AZ82" s="53" t="s">
        <v>303</v>
      </c>
      <c r="BA82" s="54" t="s">
        <v>302</v>
      </c>
      <c r="BB82" s="53" t="s">
        <v>303</v>
      </c>
      <c r="BC82" s="54" t="s">
        <v>302</v>
      </c>
      <c r="BD82" s="53" t="s">
        <v>303</v>
      </c>
      <c r="BE82" s="54" t="s">
        <v>302</v>
      </c>
      <c r="BF82" s="53" t="s">
        <v>303</v>
      </c>
      <c r="BG82" s="54" t="s">
        <v>302</v>
      </c>
      <c r="BH82" s="53" t="s">
        <v>303</v>
      </c>
      <c r="BI82" s="54" t="s">
        <v>302</v>
      </c>
      <c r="BJ82" s="53" t="s">
        <v>303</v>
      </c>
      <c r="BK82" s="54" t="s">
        <v>302</v>
      </c>
      <c r="BL82" s="105" t="s">
        <v>303</v>
      </c>
      <c r="BM82" s="106" t="s">
        <v>302</v>
      </c>
    </row>
    <row r="83" spans="1:65" x14ac:dyDescent="0.25">
      <c r="A83" s="24" t="s">
        <v>292</v>
      </c>
      <c r="B83" s="9"/>
      <c r="C83" s="9"/>
      <c r="D83" s="9"/>
      <c r="E83" s="9"/>
      <c r="F83" s="9"/>
      <c r="G83" s="9"/>
      <c r="H83" s="92">
        <v>13</v>
      </c>
      <c r="I83" s="92">
        <v>91</v>
      </c>
      <c r="J83" s="9"/>
      <c r="K83" s="9"/>
      <c r="L83" s="9"/>
      <c r="M83" s="9"/>
      <c r="N83" s="9"/>
      <c r="O83" s="9"/>
      <c r="P83" s="76"/>
      <c r="Q83" s="76"/>
      <c r="R83" s="92">
        <v>0.01</v>
      </c>
      <c r="S83" s="92">
        <v>0.21</v>
      </c>
      <c r="T83" s="76"/>
      <c r="U83" s="76"/>
      <c r="V83" s="92">
        <v>58</v>
      </c>
      <c r="W83" s="92">
        <v>60</v>
      </c>
      <c r="X83" s="92">
        <v>37</v>
      </c>
      <c r="Y83" s="92">
        <v>121</v>
      </c>
      <c r="Z83" s="9"/>
      <c r="AA83" s="9"/>
      <c r="AB83" s="9"/>
      <c r="AC83" s="9"/>
      <c r="AD83" s="9"/>
      <c r="AE83" s="9"/>
      <c r="AF83" s="10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>
        <v>33</v>
      </c>
      <c r="AT83" s="9"/>
      <c r="AU83" s="9"/>
      <c r="AV83" s="92"/>
      <c r="AW83" s="92">
        <v>1</v>
      </c>
      <c r="AX83" s="9"/>
      <c r="AY83" s="9"/>
      <c r="AZ83" s="9"/>
      <c r="BA83" s="9"/>
      <c r="BB83" s="9"/>
      <c r="BC83" s="9"/>
      <c r="BD83" s="76"/>
      <c r="BE83" s="76"/>
      <c r="BF83" s="92">
        <v>41</v>
      </c>
      <c r="BG83" s="92">
        <v>123</v>
      </c>
      <c r="BH83" s="9"/>
      <c r="BI83" s="9"/>
      <c r="BJ83" s="9"/>
      <c r="BK83" s="9"/>
      <c r="BL83" s="68">
        <f t="shared" ref="BL83:BL89" si="14">SUM(B83+D83+F83+H83+J83+L83+N83+P83+R83+T83+V83+X83+Z83+AB83+AD83+AF83+AH83+AJ83+AL83+AN83+AP83+AR83+AT83+AV83+AX83+AZ83+BB83+BD83+BF83+BH83+BJ83)</f>
        <v>149.01</v>
      </c>
      <c r="BM83" s="68">
        <f t="shared" ref="BM83:BM89" si="15">SUM(C83+E83+G83+I83+K83+M83+O83+Q83+S83+U83+W83+Y83+AA83+AC83+AE83+AG83+AI83+AK83+AM83+AO83+AQ83+AS83+AU83+AW83+AY83+BA83+BC83+BE83+BG83+BI83+BK83)</f>
        <v>429.21</v>
      </c>
    </row>
    <row r="84" spans="1:65" s="71" customFormat="1" x14ac:dyDescent="0.25">
      <c r="A84" s="24" t="s">
        <v>293</v>
      </c>
      <c r="B84" s="92"/>
      <c r="C84" s="92"/>
      <c r="D84" s="92"/>
      <c r="E84" s="92"/>
      <c r="F84" s="92"/>
      <c r="G84" s="92"/>
      <c r="H84" s="92"/>
      <c r="I84" s="92">
        <v>5</v>
      </c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>
        <v>2</v>
      </c>
      <c r="Y84" s="92">
        <v>1</v>
      </c>
      <c r="Z84" s="92"/>
      <c r="AA84" s="92"/>
      <c r="AB84" s="92"/>
      <c r="AC84" s="92"/>
      <c r="AD84" s="92"/>
      <c r="AE84" s="92"/>
      <c r="AF84" s="10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>
        <v>-7</v>
      </c>
      <c r="AS84" s="92">
        <v>-7</v>
      </c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>
        <v>0</v>
      </c>
      <c r="BG84" s="92"/>
      <c r="BH84" s="92"/>
      <c r="BI84" s="92"/>
      <c r="BJ84" s="92"/>
      <c r="BK84" s="92"/>
      <c r="BL84" s="68">
        <f t="shared" si="14"/>
        <v>-5</v>
      </c>
      <c r="BM84" s="68">
        <f t="shared" si="15"/>
        <v>-1</v>
      </c>
    </row>
    <row r="85" spans="1:65" s="71" customFormat="1" x14ac:dyDescent="0.25">
      <c r="A85" s="24" t="s">
        <v>294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>
        <v>0.04</v>
      </c>
      <c r="S85" s="92">
        <v>0.1</v>
      </c>
      <c r="T85" s="92"/>
      <c r="U85" s="92"/>
      <c r="V85" s="92"/>
      <c r="W85" s="92"/>
      <c r="X85" s="92">
        <v>0</v>
      </c>
      <c r="Y85" s="92">
        <v>0</v>
      </c>
      <c r="Z85" s="92"/>
      <c r="AA85" s="92"/>
      <c r="AB85" s="92"/>
      <c r="AC85" s="92"/>
      <c r="AD85" s="92"/>
      <c r="AE85" s="92"/>
      <c r="AF85" s="10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>
        <v>0</v>
      </c>
      <c r="BG85" s="92"/>
      <c r="BH85" s="92"/>
      <c r="BI85" s="92"/>
      <c r="BJ85" s="92"/>
      <c r="BK85" s="92"/>
      <c r="BL85" s="68">
        <f t="shared" si="14"/>
        <v>0.04</v>
      </c>
      <c r="BM85" s="68">
        <f t="shared" si="15"/>
        <v>0.1</v>
      </c>
    </row>
    <row r="86" spans="1:65" s="7" customFormat="1" x14ac:dyDescent="0.25">
      <c r="A86" s="10" t="s">
        <v>295</v>
      </c>
      <c r="B86" s="10"/>
      <c r="C86" s="10"/>
      <c r="D86" s="10"/>
      <c r="E86" s="10"/>
      <c r="F86" s="10"/>
      <c r="G86" s="10"/>
      <c r="H86" s="10">
        <v>13</v>
      </c>
      <c r="I86" s="10">
        <v>96</v>
      </c>
      <c r="J86" s="10"/>
      <c r="K86" s="10"/>
      <c r="L86" s="10"/>
      <c r="M86" s="10"/>
      <c r="N86" s="10"/>
      <c r="O86" s="10"/>
      <c r="P86" s="10"/>
      <c r="Q86" s="10"/>
      <c r="R86" s="10">
        <v>0.05</v>
      </c>
      <c r="S86" s="10">
        <v>0.32</v>
      </c>
      <c r="T86" s="10"/>
      <c r="U86" s="10"/>
      <c r="V86" s="10">
        <v>58</v>
      </c>
      <c r="W86" s="10">
        <v>60</v>
      </c>
      <c r="X86" s="10">
        <v>39</v>
      </c>
      <c r="Y86" s="10">
        <v>122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333.97</v>
      </c>
      <c r="AM86" s="10">
        <v>572.39</v>
      </c>
      <c r="AN86" s="10"/>
      <c r="AO86" s="10"/>
      <c r="AP86" s="10"/>
      <c r="AQ86" s="10"/>
      <c r="AR86" s="10">
        <v>-7</v>
      </c>
      <c r="AS86" s="10">
        <v>26</v>
      </c>
      <c r="AT86" s="10"/>
      <c r="AU86" s="10"/>
      <c r="AV86" s="10"/>
      <c r="AW86" s="10">
        <v>2</v>
      </c>
      <c r="AX86" s="10"/>
      <c r="AY86" s="10"/>
      <c r="AZ86" s="10"/>
      <c r="BA86" s="10"/>
      <c r="BB86" s="10"/>
      <c r="BC86" s="10"/>
      <c r="BD86" s="10">
        <v>105</v>
      </c>
      <c r="BE86" s="10">
        <v>326</v>
      </c>
      <c r="BF86" s="10">
        <v>41</v>
      </c>
      <c r="BG86" s="10">
        <v>123</v>
      </c>
      <c r="BH86" s="10">
        <v>31</v>
      </c>
      <c r="BI86" s="10">
        <v>91</v>
      </c>
      <c r="BJ86" s="10"/>
      <c r="BK86" s="10"/>
      <c r="BL86" s="63">
        <f t="shared" si="14"/>
        <v>614.02</v>
      </c>
      <c r="BM86" s="63">
        <f t="shared" si="15"/>
        <v>1418.71</v>
      </c>
    </row>
    <row r="87" spans="1:65" x14ac:dyDescent="0.25">
      <c r="A87" s="24" t="s">
        <v>296</v>
      </c>
      <c r="B87" s="9"/>
      <c r="C87" s="9"/>
      <c r="D87" s="9"/>
      <c r="E87" s="9"/>
      <c r="F87" s="9"/>
      <c r="G87" s="9"/>
      <c r="H87" s="92"/>
      <c r="I87" s="92"/>
      <c r="J87" s="9"/>
      <c r="K87" s="9"/>
      <c r="L87" s="9"/>
      <c r="M87" s="9"/>
      <c r="N87" s="9"/>
      <c r="O87" s="9"/>
      <c r="P87" s="76"/>
      <c r="Q87" s="76"/>
      <c r="R87" s="92"/>
      <c r="S87" s="92"/>
      <c r="T87" s="76"/>
      <c r="U87" s="76"/>
      <c r="V87" s="92"/>
      <c r="W87" s="92"/>
      <c r="X87" s="92">
        <v>31</v>
      </c>
      <c r="Y87" s="92">
        <v>60</v>
      </c>
      <c r="Z87" s="9"/>
      <c r="AA87" s="9"/>
      <c r="AB87" s="9"/>
      <c r="AC87" s="9"/>
      <c r="AD87" s="9"/>
      <c r="AE87" s="9"/>
      <c r="AF87" s="10"/>
      <c r="AG87" s="9"/>
      <c r="AH87" s="9"/>
      <c r="AI87" s="9"/>
      <c r="AJ87" s="9"/>
      <c r="AK87" s="9"/>
      <c r="AL87" s="92">
        <v>81.069999999999993</v>
      </c>
      <c r="AM87" s="92">
        <v>125.1</v>
      </c>
      <c r="AN87" s="9"/>
      <c r="AO87" s="9"/>
      <c r="AP87" s="9"/>
      <c r="AQ87" s="9"/>
      <c r="AR87" s="9"/>
      <c r="AS87" s="9"/>
      <c r="AT87" s="9"/>
      <c r="AU87" s="9"/>
      <c r="AV87" s="92"/>
      <c r="AW87" s="92"/>
      <c r="AX87" s="9"/>
      <c r="AY87" s="9"/>
      <c r="AZ87" s="9"/>
      <c r="BA87" s="9"/>
      <c r="BB87" s="9"/>
      <c r="BC87" s="9"/>
      <c r="BD87" s="92">
        <v>73</v>
      </c>
      <c r="BE87" s="92">
        <v>408</v>
      </c>
      <c r="BF87" s="92">
        <v>161</v>
      </c>
      <c r="BG87" s="92">
        <v>648</v>
      </c>
      <c r="BH87" s="92">
        <v>35</v>
      </c>
      <c r="BI87" s="92">
        <v>211</v>
      </c>
      <c r="BJ87" s="9"/>
      <c r="BK87" s="9"/>
      <c r="BL87" s="68">
        <f t="shared" si="14"/>
        <v>381.07</v>
      </c>
      <c r="BM87" s="68">
        <f t="shared" si="15"/>
        <v>1452.1</v>
      </c>
    </row>
    <row r="88" spans="1:65" x14ac:dyDescent="0.25">
      <c r="A88" s="24" t="s">
        <v>297</v>
      </c>
      <c r="B88" s="9"/>
      <c r="C88" s="9"/>
      <c r="D88" s="9"/>
      <c r="E88" s="9"/>
      <c r="F88" s="9"/>
      <c r="G88" s="9"/>
      <c r="H88" s="92">
        <v>-12</v>
      </c>
      <c r="I88" s="92">
        <v>-43</v>
      </c>
      <c r="J88" s="9"/>
      <c r="K88" s="9"/>
      <c r="L88" s="9"/>
      <c r="M88" s="9"/>
      <c r="N88" s="9"/>
      <c r="O88" s="9"/>
      <c r="P88" s="76"/>
      <c r="Q88" s="76"/>
      <c r="R88" s="92">
        <v>1.31</v>
      </c>
      <c r="S88" s="92">
        <v>1.4</v>
      </c>
      <c r="T88" s="76"/>
      <c r="U88" s="76"/>
      <c r="V88" s="92">
        <v>-74</v>
      </c>
      <c r="W88" s="92">
        <v>-97</v>
      </c>
      <c r="X88" s="92">
        <v>20</v>
      </c>
      <c r="Y88" s="92">
        <v>91</v>
      </c>
      <c r="Z88" s="9"/>
      <c r="AA88" s="9"/>
      <c r="AB88" s="9"/>
      <c r="AC88" s="9"/>
      <c r="AD88" s="9"/>
      <c r="AE88" s="9"/>
      <c r="AF88" s="10"/>
      <c r="AG88" s="9"/>
      <c r="AH88" s="9"/>
      <c r="AI88" s="9"/>
      <c r="AJ88" s="9"/>
      <c r="AK88" s="9"/>
      <c r="AL88" s="92">
        <v>276.72000000000003</v>
      </c>
      <c r="AM88" s="92">
        <v>521.95000000000005</v>
      </c>
      <c r="AN88" s="9"/>
      <c r="AO88" s="9"/>
      <c r="AP88" s="9"/>
      <c r="AQ88" s="9"/>
      <c r="AR88" s="9">
        <v>3</v>
      </c>
      <c r="AS88" s="9">
        <v>130</v>
      </c>
      <c r="AT88" s="9"/>
      <c r="AU88" s="9"/>
      <c r="AV88" s="92"/>
      <c r="AW88" s="92"/>
      <c r="AX88" s="9"/>
      <c r="AY88" s="9"/>
      <c r="AZ88" s="9"/>
      <c r="BA88" s="9"/>
      <c r="BB88" s="92"/>
      <c r="BC88" s="92"/>
      <c r="BD88" s="92">
        <v>226</v>
      </c>
      <c r="BE88" s="92">
        <v>570</v>
      </c>
      <c r="BF88" s="92">
        <v>399</v>
      </c>
      <c r="BG88" s="92">
        <v>628</v>
      </c>
      <c r="BH88" s="92">
        <v>25</v>
      </c>
      <c r="BI88" s="92">
        <v>188</v>
      </c>
      <c r="BJ88" s="9"/>
      <c r="BK88" s="9"/>
      <c r="BL88" s="68">
        <f t="shared" si="14"/>
        <v>865.03</v>
      </c>
      <c r="BM88" s="68">
        <f t="shared" si="15"/>
        <v>1990.35</v>
      </c>
    </row>
    <row r="89" spans="1:65" s="7" customFormat="1" x14ac:dyDescent="0.25">
      <c r="A89" s="10" t="s">
        <v>190</v>
      </c>
      <c r="B89" s="10"/>
      <c r="C89" s="10"/>
      <c r="D89" s="10"/>
      <c r="E89" s="10"/>
      <c r="F89" s="10"/>
      <c r="G89" s="10"/>
      <c r="H89" s="10">
        <v>1</v>
      </c>
      <c r="I89" s="10">
        <v>53</v>
      </c>
      <c r="J89" s="10"/>
      <c r="K89" s="10"/>
      <c r="L89" s="10"/>
      <c r="M89" s="10"/>
      <c r="N89" s="10"/>
      <c r="O89" s="10"/>
      <c r="P89" s="10"/>
      <c r="Q89" s="10"/>
      <c r="R89" s="10">
        <v>-1.26</v>
      </c>
      <c r="S89" s="10">
        <v>-1.08</v>
      </c>
      <c r="T89" s="10"/>
      <c r="U89" s="10"/>
      <c r="V89" s="10">
        <v>-16</v>
      </c>
      <c r="W89" s="10">
        <v>-37</v>
      </c>
      <c r="X89" s="10">
        <v>50</v>
      </c>
      <c r="Y89" s="10">
        <v>91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23.82</v>
      </c>
      <c r="AM89" s="10">
        <v>74.650000000000006</v>
      </c>
      <c r="AN89" s="10"/>
      <c r="AO89" s="10"/>
      <c r="AP89" s="10"/>
      <c r="AQ89" s="10"/>
      <c r="AR89" s="10">
        <v>-11</v>
      </c>
      <c r="AS89" s="10">
        <v>-104</v>
      </c>
      <c r="AT89" s="10"/>
      <c r="AU89" s="10"/>
      <c r="AV89" s="10"/>
      <c r="AW89" s="10">
        <v>2</v>
      </c>
      <c r="AX89" s="10"/>
      <c r="AY89" s="10"/>
      <c r="AZ89" s="10"/>
      <c r="BA89" s="10"/>
      <c r="BB89" s="10"/>
      <c r="BC89" s="10"/>
      <c r="BD89" s="10">
        <v>-48</v>
      </c>
      <c r="BE89" s="10">
        <v>164</v>
      </c>
      <c r="BF89" s="10">
        <v>-196</v>
      </c>
      <c r="BG89" s="10">
        <v>143</v>
      </c>
      <c r="BH89" s="10">
        <v>41</v>
      </c>
      <c r="BI89" s="10">
        <v>115</v>
      </c>
      <c r="BJ89" s="10"/>
      <c r="BK89" s="10"/>
      <c r="BL89" s="63">
        <f t="shared" si="14"/>
        <v>-156.44</v>
      </c>
      <c r="BM89" s="63">
        <f t="shared" si="15"/>
        <v>500.57</v>
      </c>
    </row>
    <row r="90" spans="1:65" x14ac:dyDescent="0.25">
      <c r="A90" s="22"/>
    </row>
    <row r="91" spans="1:65" x14ac:dyDescent="0.25">
      <c r="A91" s="23" t="s">
        <v>189</v>
      </c>
    </row>
    <row r="92" spans="1:65" x14ac:dyDescent="0.25">
      <c r="A92" s="3" t="s">
        <v>0</v>
      </c>
      <c r="B92" s="153" t="s">
        <v>1</v>
      </c>
      <c r="C92" s="154"/>
      <c r="D92" s="153" t="s">
        <v>234</v>
      </c>
      <c r="E92" s="154"/>
      <c r="F92" s="153" t="s">
        <v>2</v>
      </c>
      <c r="G92" s="154"/>
      <c r="H92" s="153" t="s">
        <v>3</v>
      </c>
      <c r="I92" s="154"/>
      <c r="J92" s="153" t="s">
        <v>243</v>
      </c>
      <c r="K92" s="154"/>
      <c r="L92" s="153" t="s">
        <v>235</v>
      </c>
      <c r="M92" s="154"/>
      <c r="N92" s="153" t="s">
        <v>5</v>
      </c>
      <c r="O92" s="154"/>
      <c r="P92" s="153" t="s">
        <v>4</v>
      </c>
      <c r="Q92" s="154"/>
      <c r="R92" s="153" t="s">
        <v>6</v>
      </c>
      <c r="S92" s="154"/>
      <c r="T92" s="153" t="s">
        <v>246</v>
      </c>
      <c r="U92" s="154"/>
      <c r="V92" s="153" t="s">
        <v>7</v>
      </c>
      <c r="W92" s="154"/>
      <c r="X92" s="153" t="s">
        <v>8</v>
      </c>
      <c r="Y92" s="154"/>
      <c r="Z92" s="153" t="s">
        <v>9</v>
      </c>
      <c r="AA92" s="154"/>
      <c r="AB92" s="153" t="s">
        <v>242</v>
      </c>
      <c r="AC92" s="154"/>
      <c r="AD92" s="153" t="s">
        <v>10</v>
      </c>
      <c r="AE92" s="154"/>
      <c r="AF92" s="153" t="s">
        <v>11</v>
      </c>
      <c r="AG92" s="154"/>
      <c r="AH92" s="153" t="s">
        <v>236</v>
      </c>
      <c r="AI92" s="154"/>
      <c r="AJ92" s="153" t="s">
        <v>245</v>
      </c>
      <c r="AK92" s="154"/>
      <c r="AL92" s="153" t="s">
        <v>12</v>
      </c>
      <c r="AM92" s="154"/>
      <c r="AN92" s="153" t="s">
        <v>237</v>
      </c>
      <c r="AO92" s="154"/>
      <c r="AP92" s="153" t="s">
        <v>238</v>
      </c>
      <c r="AQ92" s="154"/>
      <c r="AR92" s="153" t="s">
        <v>241</v>
      </c>
      <c r="AS92" s="154"/>
      <c r="AT92" s="153" t="s">
        <v>13</v>
      </c>
      <c r="AU92" s="154"/>
      <c r="AV92" s="153" t="s">
        <v>14</v>
      </c>
      <c r="AW92" s="154"/>
      <c r="AX92" s="153" t="s">
        <v>15</v>
      </c>
      <c r="AY92" s="154"/>
      <c r="AZ92" s="153" t="s">
        <v>16</v>
      </c>
      <c r="BA92" s="154"/>
      <c r="BB92" s="153" t="s">
        <v>17</v>
      </c>
      <c r="BC92" s="154"/>
      <c r="BD92" s="153" t="s">
        <v>239</v>
      </c>
      <c r="BE92" s="154"/>
      <c r="BF92" s="153" t="s">
        <v>240</v>
      </c>
      <c r="BG92" s="154"/>
      <c r="BH92" s="153" t="s">
        <v>18</v>
      </c>
      <c r="BI92" s="154"/>
      <c r="BJ92" s="153" t="s">
        <v>19</v>
      </c>
      <c r="BK92" s="154"/>
      <c r="BL92" s="155" t="s">
        <v>20</v>
      </c>
      <c r="BM92" s="156"/>
    </row>
    <row r="93" spans="1:65" ht="30" x14ac:dyDescent="0.25">
      <c r="A93" s="3"/>
      <c r="B93" s="53" t="s">
        <v>303</v>
      </c>
      <c r="C93" s="54" t="s">
        <v>302</v>
      </c>
      <c r="D93" s="53" t="s">
        <v>303</v>
      </c>
      <c r="E93" s="54" t="s">
        <v>302</v>
      </c>
      <c r="F93" s="53" t="s">
        <v>303</v>
      </c>
      <c r="G93" s="54" t="s">
        <v>302</v>
      </c>
      <c r="H93" s="53" t="s">
        <v>303</v>
      </c>
      <c r="I93" s="54" t="s">
        <v>302</v>
      </c>
      <c r="J93" s="53" t="s">
        <v>303</v>
      </c>
      <c r="K93" s="54" t="s">
        <v>302</v>
      </c>
      <c r="L93" s="53" t="s">
        <v>303</v>
      </c>
      <c r="M93" s="54" t="s">
        <v>302</v>
      </c>
      <c r="N93" s="53" t="s">
        <v>303</v>
      </c>
      <c r="O93" s="54" t="s">
        <v>302</v>
      </c>
      <c r="P93" s="53" t="s">
        <v>303</v>
      </c>
      <c r="Q93" s="54" t="s">
        <v>302</v>
      </c>
      <c r="R93" s="53" t="s">
        <v>303</v>
      </c>
      <c r="S93" s="54" t="s">
        <v>302</v>
      </c>
      <c r="T93" s="53" t="s">
        <v>303</v>
      </c>
      <c r="U93" s="54" t="s">
        <v>302</v>
      </c>
      <c r="V93" s="53" t="s">
        <v>303</v>
      </c>
      <c r="W93" s="54" t="s">
        <v>302</v>
      </c>
      <c r="X93" s="53" t="s">
        <v>303</v>
      </c>
      <c r="Y93" s="54" t="s">
        <v>302</v>
      </c>
      <c r="Z93" s="53" t="s">
        <v>303</v>
      </c>
      <c r="AA93" s="54" t="s">
        <v>302</v>
      </c>
      <c r="AB93" s="53" t="s">
        <v>303</v>
      </c>
      <c r="AC93" s="54" t="s">
        <v>302</v>
      </c>
      <c r="AD93" s="53" t="s">
        <v>303</v>
      </c>
      <c r="AE93" s="54" t="s">
        <v>302</v>
      </c>
      <c r="AF93" s="53" t="s">
        <v>303</v>
      </c>
      <c r="AG93" s="54" t="s">
        <v>302</v>
      </c>
      <c r="AH93" s="53" t="s">
        <v>303</v>
      </c>
      <c r="AI93" s="54" t="s">
        <v>302</v>
      </c>
      <c r="AJ93" s="53" t="s">
        <v>303</v>
      </c>
      <c r="AK93" s="54" t="s">
        <v>302</v>
      </c>
      <c r="AL93" s="53" t="s">
        <v>303</v>
      </c>
      <c r="AM93" s="54" t="s">
        <v>302</v>
      </c>
      <c r="AN93" s="53" t="s">
        <v>303</v>
      </c>
      <c r="AO93" s="54" t="s">
        <v>302</v>
      </c>
      <c r="AP93" s="53" t="s">
        <v>303</v>
      </c>
      <c r="AQ93" s="54" t="s">
        <v>302</v>
      </c>
      <c r="AR93" s="53" t="s">
        <v>303</v>
      </c>
      <c r="AS93" s="54" t="s">
        <v>302</v>
      </c>
      <c r="AT93" s="53" t="s">
        <v>303</v>
      </c>
      <c r="AU93" s="54" t="s">
        <v>302</v>
      </c>
      <c r="AV93" s="53" t="s">
        <v>303</v>
      </c>
      <c r="AW93" s="54" t="s">
        <v>302</v>
      </c>
      <c r="AX93" s="53" t="s">
        <v>303</v>
      </c>
      <c r="AY93" s="54" t="s">
        <v>302</v>
      </c>
      <c r="AZ93" s="53" t="s">
        <v>303</v>
      </c>
      <c r="BA93" s="54" t="s">
        <v>302</v>
      </c>
      <c r="BB93" s="53" t="s">
        <v>303</v>
      </c>
      <c r="BC93" s="54" t="s">
        <v>302</v>
      </c>
      <c r="BD93" s="53" t="s">
        <v>303</v>
      </c>
      <c r="BE93" s="54" t="s">
        <v>302</v>
      </c>
      <c r="BF93" s="53" t="s">
        <v>303</v>
      </c>
      <c r="BG93" s="54" t="s">
        <v>302</v>
      </c>
      <c r="BH93" s="53" t="s">
        <v>303</v>
      </c>
      <c r="BI93" s="54" t="s">
        <v>302</v>
      </c>
      <c r="BJ93" s="53" t="s">
        <v>303</v>
      </c>
      <c r="BK93" s="54" t="s">
        <v>302</v>
      </c>
      <c r="BL93" s="105" t="s">
        <v>303</v>
      </c>
      <c r="BM93" s="106" t="s">
        <v>302</v>
      </c>
    </row>
    <row r="94" spans="1:65" x14ac:dyDescent="0.25">
      <c r="A94" s="24" t="s">
        <v>292</v>
      </c>
      <c r="B94" s="9">
        <f>B105-B83-B72-B61-B50-B39-B28-B17-B6</f>
        <v>1</v>
      </c>
      <c r="C94" s="9">
        <f t="shared" ref="C94:AE94" si="16">C105-C83-C72-C61-C50-C39-C28-C17-C6</f>
        <v>1</v>
      </c>
      <c r="D94" s="9">
        <f t="shared" si="16"/>
        <v>0</v>
      </c>
      <c r="E94" s="9">
        <f t="shared" si="16"/>
        <v>0</v>
      </c>
      <c r="F94" s="9">
        <f t="shared" si="16"/>
        <v>0</v>
      </c>
      <c r="G94" s="9">
        <f t="shared" si="16"/>
        <v>0</v>
      </c>
      <c r="H94" s="9">
        <f t="shared" si="16"/>
        <v>2302</v>
      </c>
      <c r="I94" s="9">
        <f t="shared" si="16"/>
        <v>6054</v>
      </c>
      <c r="J94" s="9">
        <f t="shared" si="16"/>
        <v>304</v>
      </c>
      <c r="K94" s="9">
        <f t="shared" si="16"/>
        <v>494</v>
      </c>
      <c r="L94" s="9">
        <f t="shared" si="16"/>
        <v>344</v>
      </c>
      <c r="M94" s="9">
        <f t="shared" si="16"/>
        <v>771</v>
      </c>
      <c r="N94" s="9">
        <f t="shared" si="16"/>
        <v>312.64</v>
      </c>
      <c r="O94" s="9">
        <f t="shared" si="16"/>
        <v>636.79999999999995</v>
      </c>
      <c r="P94" s="9">
        <f t="shared" si="16"/>
        <v>2.9500000000000171</v>
      </c>
      <c r="Q94" s="9">
        <f t="shared" si="16"/>
        <v>24.139999999999844</v>
      </c>
      <c r="R94" s="9">
        <f t="shared" si="16"/>
        <v>1692.8300000000002</v>
      </c>
      <c r="S94" s="9">
        <f t="shared" si="16"/>
        <v>2047.1000000000017</v>
      </c>
      <c r="T94" s="9">
        <f t="shared" si="16"/>
        <v>1561</v>
      </c>
      <c r="U94" s="9">
        <f t="shared" si="16"/>
        <v>2609</v>
      </c>
      <c r="V94" s="9">
        <f t="shared" si="16"/>
        <v>1520</v>
      </c>
      <c r="W94" s="9">
        <f t="shared" si="16"/>
        <v>4176</v>
      </c>
      <c r="X94" s="9">
        <f t="shared" si="16"/>
        <v>2120</v>
      </c>
      <c r="Y94" s="9">
        <f t="shared" si="16"/>
        <v>8783</v>
      </c>
      <c r="Z94" s="9">
        <f t="shared" si="16"/>
        <v>2098</v>
      </c>
      <c r="AA94" s="9">
        <f t="shared" si="16"/>
        <v>6026</v>
      </c>
      <c r="AB94" s="9">
        <f t="shared" si="16"/>
        <v>43.640000000000043</v>
      </c>
      <c r="AC94" s="9">
        <f t="shared" si="16"/>
        <v>68.559999999999889</v>
      </c>
      <c r="AD94" s="9">
        <f t="shared" si="16"/>
        <v>194</v>
      </c>
      <c r="AE94" s="9">
        <f t="shared" si="16"/>
        <v>612</v>
      </c>
      <c r="AF94" s="9">
        <f t="shared" ref="AF94:BK94" si="17">AF105-AF83-AF72-AF61-AF50-AF39-AF28-AF17-AF6</f>
        <v>24.349999999999909</v>
      </c>
      <c r="AG94" s="9">
        <f t="shared" si="17"/>
        <v>66.039999999999395</v>
      </c>
      <c r="AH94" s="9">
        <f t="shared" si="17"/>
        <v>2.4699999999997999</v>
      </c>
      <c r="AI94" s="9">
        <f t="shared" si="17"/>
        <v>11.319999999999709</v>
      </c>
      <c r="AJ94" s="9">
        <f t="shared" si="17"/>
        <v>0</v>
      </c>
      <c r="AK94" s="9">
        <f t="shared" si="17"/>
        <v>0</v>
      </c>
      <c r="AL94" s="9">
        <f t="shared" si="17"/>
        <v>0</v>
      </c>
      <c r="AM94" s="9">
        <f t="shared" si="17"/>
        <v>0</v>
      </c>
      <c r="AN94" s="9">
        <f t="shared" si="17"/>
        <v>1</v>
      </c>
      <c r="AO94" s="9">
        <f t="shared" si="17"/>
        <v>0</v>
      </c>
      <c r="AP94" s="9">
        <f t="shared" si="17"/>
        <v>180</v>
      </c>
      <c r="AQ94" s="9">
        <f t="shared" si="17"/>
        <v>638</v>
      </c>
      <c r="AR94" s="9">
        <f t="shared" si="17"/>
        <v>352</v>
      </c>
      <c r="AS94" s="9">
        <f t="shared" si="17"/>
        <v>954</v>
      </c>
      <c r="AT94" s="9">
        <f t="shared" si="17"/>
        <v>47</v>
      </c>
      <c r="AU94" s="9">
        <f t="shared" si="17"/>
        <v>148</v>
      </c>
      <c r="AV94" s="9">
        <f t="shared" si="17"/>
        <v>731</v>
      </c>
      <c r="AW94" s="9">
        <f t="shared" si="17"/>
        <v>2010</v>
      </c>
      <c r="AX94" s="9">
        <f t="shared" si="17"/>
        <v>21</v>
      </c>
      <c r="AY94" s="9">
        <f t="shared" si="17"/>
        <v>59</v>
      </c>
      <c r="AZ94" s="9">
        <f t="shared" si="17"/>
        <v>0</v>
      </c>
      <c r="BA94" s="9">
        <f t="shared" si="17"/>
        <v>3</v>
      </c>
      <c r="BB94" s="9">
        <f t="shared" si="17"/>
        <v>1567</v>
      </c>
      <c r="BC94" s="9">
        <f t="shared" si="17"/>
        <v>4296</v>
      </c>
      <c r="BD94" s="9">
        <f t="shared" si="17"/>
        <v>0</v>
      </c>
      <c r="BE94" s="9">
        <f t="shared" si="17"/>
        <v>0</v>
      </c>
      <c r="BF94" s="9">
        <f t="shared" si="17"/>
        <v>2100</v>
      </c>
      <c r="BG94" s="9">
        <f t="shared" si="17"/>
        <v>5997</v>
      </c>
      <c r="BH94" s="9">
        <f t="shared" si="17"/>
        <v>0</v>
      </c>
      <c r="BI94" s="9">
        <f t="shared" si="17"/>
        <v>0</v>
      </c>
      <c r="BJ94" s="9">
        <f t="shared" si="17"/>
        <v>144</v>
      </c>
      <c r="BK94" s="9">
        <f t="shared" si="17"/>
        <v>400</v>
      </c>
      <c r="BL94" s="68">
        <f t="shared" ref="BL94:BL100" si="18">SUM(B94+D94+F94+H94+J94+L94+N94+P94+R94+T94+V94+X94+Z94+AB94+AD94+AF94+AH94+AJ94+AL94+AN94+AP94+AR94+AT94+AV94+AX94+AZ94+BB94+BD94+BF94+BH94+BJ94)</f>
        <v>17665.879999999997</v>
      </c>
      <c r="BM94" s="68">
        <f t="shared" ref="BM94:BM100" si="19">SUM(C94+E94+G94+I94+K94+M94+O94+Q94+S94+U94+W94+Y94+AA94+AC94+AE94+AG94+AI94+AK94+AM94+AO94+AQ94+AS94+AU94+AW94+AY94+BA94+BC94+BE94+BG94+BI94+BK94)</f>
        <v>46884.960000000006</v>
      </c>
    </row>
    <row r="95" spans="1:65" s="71" customFormat="1" x14ac:dyDescent="0.25">
      <c r="A95" s="24" t="s">
        <v>293</v>
      </c>
      <c r="B95" s="92">
        <f t="shared" ref="B95:BK95" si="20">B106-B84-B73-B62-B51-B40-B29-B18-B7</f>
        <v>0</v>
      </c>
      <c r="C95" s="92">
        <f t="shared" si="20"/>
        <v>0</v>
      </c>
      <c r="D95" s="92">
        <f t="shared" si="20"/>
        <v>0</v>
      </c>
      <c r="E95" s="92">
        <f t="shared" si="20"/>
        <v>0</v>
      </c>
      <c r="F95" s="92">
        <f t="shared" si="20"/>
        <v>0</v>
      </c>
      <c r="G95" s="92">
        <f t="shared" si="20"/>
        <v>0</v>
      </c>
      <c r="H95" s="92">
        <f t="shared" si="20"/>
        <v>408</v>
      </c>
      <c r="I95" s="92">
        <f t="shared" si="20"/>
        <v>983</v>
      </c>
      <c r="J95" s="92">
        <f t="shared" si="20"/>
        <v>51</v>
      </c>
      <c r="K95" s="92">
        <f t="shared" si="20"/>
        <v>162</v>
      </c>
      <c r="L95" s="92">
        <f t="shared" si="20"/>
        <v>2</v>
      </c>
      <c r="M95" s="92">
        <f t="shared" si="20"/>
        <v>12</v>
      </c>
      <c r="N95" s="92">
        <f t="shared" si="20"/>
        <v>0</v>
      </c>
      <c r="O95" s="92">
        <f t="shared" si="20"/>
        <v>0</v>
      </c>
      <c r="P95" s="92">
        <f t="shared" si="20"/>
        <v>1.9999999999990692E-2</v>
      </c>
      <c r="Q95" s="92">
        <f t="shared" si="20"/>
        <v>6.9999999999994955E-2</v>
      </c>
      <c r="R95" s="92">
        <f t="shared" si="20"/>
        <v>0</v>
      </c>
      <c r="S95" s="92">
        <f t="shared" si="20"/>
        <v>0</v>
      </c>
      <c r="T95" s="92">
        <f t="shared" si="20"/>
        <v>28</v>
      </c>
      <c r="U95" s="92">
        <f t="shared" si="20"/>
        <v>191</v>
      </c>
      <c r="V95" s="92">
        <f t="shared" si="20"/>
        <v>321</v>
      </c>
      <c r="W95" s="92">
        <f t="shared" si="20"/>
        <v>892</v>
      </c>
      <c r="X95" s="92">
        <f t="shared" si="20"/>
        <v>466</v>
      </c>
      <c r="Y95" s="92">
        <f t="shared" si="20"/>
        <v>1782</v>
      </c>
      <c r="Z95" s="92">
        <f t="shared" si="20"/>
        <v>1247</v>
      </c>
      <c r="AA95" s="92">
        <f t="shared" si="20"/>
        <v>2934</v>
      </c>
      <c r="AB95" s="92">
        <f t="shared" si="20"/>
        <v>5.5899999999999803</v>
      </c>
      <c r="AC95" s="92">
        <f t="shared" si="20"/>
        <v>10.270000000000074</v>
      </c>
      <c r="AD95" s="92">
        <f t="shared" si="20"/>
        <v>116</v>
      </c>
      <c r="AE95" s="92">
        <f t="shared" si="20"/>
        <v>168</v>
      </c>
      <c r="AF95" s="92">
        <f t="shared" si="20"/>
        <v>5.0700000000000784</v>
      </c>
      <c r="AG95" s="92">
        <f t="shared" si="20"/>
        <v>13.680000000000092</v>
      </c>
      <c r="AH95" s="92">
        <f t="shared" si="20"/>
        <v>1.999999999998181E-2</v>
      </c>
      <c r="AI95" s="92">
        <f t="shared" si="20"/>
        <v>0.56000000000005912</v>
      </c>
      <c r="AJ95" s="92">
        <f t="shared" si="20"/>
        <v>0</v>
      </c>
      <c r="AK95" s="92">
        <f t="shared" si="20"/>
        <v>0</v>
      </c>
      <c r="AL95" s="92">
        <f t="shared" si="20"/>
        <v>0</v>
      </c>
      <c r="AM95" s="92">
        <f t="shared" si="20"/>
        <v>0</v>
      </c>
      <c r="AN95" s="92">
        <f t="shared" si="20"/>
        <v>0</v>
      </c>
      <c r="AO95" s="92">
        <f t="shared" si="20"/>
        <v>0</v>
      </c>
      <c r="AP95" s="92">
        <f t="shared" si="20"/>
        <v>55</v>
      </c>
      <c r="AQ95" s="92">
        <f t="shared" si="20"/>
        <v>184</v>
      </c>
      <c r="AR95" s="92">
        <f t="shared" si="20"/>
        <v>75</v>
      </c>
      <c r="AS95" s="92">
        <f t="shared" si="20"/>
        <v>208</v>
      </c>
      <c r="AT95" s="92">
        <f t="shared" si="20"/>
        <v>12</v>
      </c>
      <c r="AU95" s="92">
        <f t="shared" si="20"/>
        <v>39</v>
      </c>
      <c r="AV95" s="92">
        <f t="shared" si="20"/>
        <v>202</v>
      </c>
      <c r="AW95" s="92">
        <f t="shared" si="20"/>
        <v>517</v>
      </c>
      <c r="AX95" s="92">
        <f t="shared" si="20"/>
        <v>5</v>
      </c>
      <c r="AY95" s="92">
        <f t="shared" si="20"/>
        <v>11</v>
      </c>
      <c r="AZ95" s="92">
        <f t="shared" si="20"/>
        <v>2</v>
      </c>
      <c r="BA95" s="92">
        <f t="shared" si="20"/>
        <v>0</v>
      </c>
      <c r="BB95" s="92">
        <f t="shared" si="20"/>
        <v>369</v>
      </c>
      <c r="BC95" s="92">
        <f t="shared" si="20"/>
        <v>1379</v>
      </c>
      <c r="BD95" s="92">
        <f t="shared" si="20"/>
        <v>0</v>
      </c>
      <c r="BE95" s="92">
        <f t="shared" si="20"/>
        <v>0</v>
      </c>
      <c r="BF95" s="92">
        <f t="shared" si="20"/>
        <v>0</v>
      </c>
      <c r="BG95" s="92">
        <f t="shared" si="20"/>
        <v>0</v>
      </c>
      <c r="BH95" s="92">
        <f t="shared" si="20"/>
        <v>0</v>
      </c>
      <c r="BI95" s="92">
        <f t="shared" si="20"/>
        <v>0</v>
      </c>
      <c r="BJ95" s="92">
        <f t="shared" si="20"/>
        <v>13</v>
      </c>
      <c r="BK95" s="92">
        <f t="shared" si="20"/>
        <v>31</v>
      </c>
      <c r="BL95" s="68">
        <f t="shared" si="18"/>
        <v>3382.7000000000003</v>
      </c>
      <c r="BM95" s="68">
        <f t="shared" si="19"/>
        <v>9517.5800000000017</v>
      </c>
    </row>
    <row r="96" spans="1:65" s="71" customFormat="1" x14ac:dyDescent="0.25">
      <c r="A96" s="24" t="s">
        <v>294</v>
      </c>
      <c r="B96" s="92">
        <f t="shared" ref="B96:BK96" si="21">B107-B85-B74-B63-B52-B41-B30-B19-B8</f>
        <v>0</v>
      </c>
      <c r="C96" s="92">
        <f t="shared" si="21"/>
        <v>0</v>
      </c>
      <c r="D96" s="92">
        <f t="shared" si="21"/>
        <v>0</v>
      </c>
      <c r="E96" s="92">
        <f t="shared" si="21"/>
        <v>0</v>
      </c>
      <c r="F96" s="92">
        <f t="shared" si="21"/>
        <v>0</v>
      </c>
      <c r="G96" s="92">
        <f t="shared" si="21"/>
        <v>0</v>
      </c>
      <c r="H96" s="92">
        <f t="shared" si="21"/>
        <v>0</v>
      </c>
      <c r="I96" s="92">
        <f t="shared" si="21"/>
        <v>0</v>
      </c>
      <c r="J96" s="92">
        <f t="shared" si="21"/>
        <v>0</v>
      </c>
      <c r="K96" s="92">
        <f t="shared" si="21"/>
        <v>0</v>
      </c>
      <c r="L96" s="92">
        <f t="shared" si="21"/>
        <v>0</v>
      </c>
      <c r="M96" s="92">
        <f t="shared" si="21"/>
        <v>0</v>
      </c>
      <c r="N96" s="92">
        <f t="shared" si="21"/>
        <v>0</v>
      </c>
      <c r="O96" s="92">
        <f t="shared" si="21"/>
        <v>0</v>
      </c>
      <c r="P96" s="92">
        <f t="shared" si="21"/>
        <v>0</v>
      </c>
      <c r="Q96" s="92">
        <f t="shared" si="21"/>
        <v>0</v>
      </c>
      <c r="R96" s="92">
        <f t="shared" si="21"/>
        <v>41.050000000000153</v>
      </c>
      <c r="S96" s="92">
        <f t="shared" si="21"/>
        <v>92.530000000000143</v>
      </c>
      <c r="T96" s="92">
        <f t="shared" si="21"/>
        <v>-2</v>
      </c>
      <c r="U96" s="92">
        <f t="shared" si="21"/>
        <v>-2</v>
      </c>
      <c r="V96" s="92">
        <f t="shared" si="21"/>
        <v>0</v>
      </c>
      <c r="W96" s="92">
        <f t="shared" si="21"/>
        <v>0</v>
      </c>
      <c r="X96" s="92">
        <f t="shared" si="21"/>
        <v>0</v>
      </c>
      <c r="Y96" s="92">
        <f t="shared" si="21"/>
        <v>0</v>
      </c>
      <c r="Z96" s="92">
        <f t="shared" si="21"/>
        <v>0</v>
      </c>
      <c r="AA96" s="92">
        <f t="shared" si="21"/>
        <v>0</v>
      </c>
      <c r="AB96" s="92">
        <f t="shared" si="21"/>
        <v>0</v>
      </c>
      <c r="AC96" s="92">
        <f t="shared" si="21"/>
        <v>0</v>
      </c>
      <c r="AD96" s="92">
        <f t="shared" si="21"/>
        <v>0</v>
      </c>
      <c r="AE96" s="92">
        <f t="shared" si="21"/>
        <v>0</v>
      </c>
      <c r="AF96" s="92">
        <f t="shared" si="21"/>
        <v>0</v>
      </c>
      <c r="AG96" s="92">
        <f t="shared" si="21"/>
        <v>0</v>
      </c>
      <c r="AH96" s="92">
        <f t="shared" si="21"/>
        <v>0</v>
      </c>
      <c r="AI96" s="92">
        <f t="shared" si="21"/>
        <v>0</v>
      </c>
      <c r="AJ96" s="92">
        <f t="shared" si="21"/>
        <v>0</v>
      </c>
      <c r="AK96" s="92">
        <f t="shared" si="21"/>
        <v>0</v>
      </c>
      <c r="AL96" s="92">
        <f t="shared" si="21"/>
        <v>0</v>
      </c>
      <c r="AM96" s="92">
        <f t="shared" si="21"/>
        <v>0</v>
      </c>
      <c r="AN96" s="92">
        <f t="shared" si="21"/>
        <v>0</v>
      </c>
      <c r="AO96" s="92">
        <f t="shared" si="21"/>
        <v>0</v>
      </c>
      <c r="AP96" s="92">
        <f t="shared" si="21"/>
        <v>0</v>
      </c>
      <c r="AQ96" s="92">
        <f t="shared" si="21"/>
        <v>0</v>
      </c>
      <c r="AR96" s="92">
        <f t="shared" si="21"/>
        <v>0</v>
      </c>
      <c r="AS96" s="92">
        <f t="shared" si="21"/>
        <v>0</v>
      </c>
      <c r="AT96" s="92">
        <f t="shared" si="21"/>
        <v>0</v>
      </c>
      <c r="AU96" s="92">
        <f t="shared" si="21"/>
        <v>0</v>
      </c>
      <c r="AV96" s="92">
        <f t="shared" si="21"/>
        <v>0</v>
      </c>
      <c r="AW96" s="92">
        <f t="shared" si="21"/>
        <v>0</v>
      </c>
      <c r="AX96" s="92">
        <f t="shared" si="21"/>
        <v>0</v>
      </c>
      <c r="AY96" s="92">
        <f t="shared" si="21"/>
        <v>0</v>
      </c>
      <c r="AZ96" s="92">
        <f t="shared" si="21"/>
        <v>0</v>
      </c>
      <c r="BA96" s="92">
        <f t="shared" si="21"/>
        <v>0</v>
      </c>
      <c r="BB96" s="92">
        <f t="shared" si="21"/>
        <v>0</v>
      </c>
      <c r="BC96" s="92">
        <f t="shared" si="21"/>
        <v>0</v>
      </c>
      <c r="BD96" s="92">
        <f t="shared" si="21"/>
        <v>0</v>
      </c>
      <c r="BE96" s="92">
        <f t="shared" si="21"/>
        <v>0</v>
      </c>
      <c r="BF96" s="92">
        <f t="shared" si="21"/>
        <v>0</v>
      </c>
      <c r="BG96" s="92">
        <f t="shared" si="21"/>
        <v>0</v>
      </c>
      <c r="BH96" s="92">
        <f t="shared" si="21"/>
        <v>0</v>
      </c>
      <c r="BI96" s="92">
        <f t="shared" si="21"/>
        <v>0</v>
      </c>
      <c r="BJ96" s="92">
        <f t="shared" si="21"/>
        <v>0</v>
      </c>
      <c r="BK96" s="92">
        <f t="shared" si="21"/>
        <v>0</v>
      </c>
      <c r="BL96" s="68">
        <f t="shared" si="18"/>
        <v>39.050000000000153</v>
      </c>
      <c r="BM96" s="68">
        <f t="shared" si="19"/>
        <v>90.530000000000143</v>
      </c>
    </row>
    <row r="97" spans="1:65" s="7" customFormat="1" x14ac:dyDescent="0.25">
      <c r="A97" s="10" t="s">
        <v>295</v>
      </c>
      <c r="B97" s="10">
        <f t="shared" ref="B97:BK97" si="22">B108-B86-B75-B64-B53-B42-B31-B20-B9</f>
        <v>1</v>
      </c>
      <c r="C97" s="10">
        <f t="shared" si="22"/>
        <v>1</v>
      </c>
      <c r="D97" s="10">
        <f t="shared" si="22"/>
        <v>0</v>
      </c>
      <c r="E97" s="10">
        <f t="shared" si="22"/>
        <v>0</v>
      </c>
      <c r="F97" s="10">
        <f t="shared" si="22"/>
        <v>0</v>
      </c>
      <c r="G97" s="10">
        <f t="shared" si="22"/>
        <v>0</v>
      </c>
      <c r="H97" s="10">
        <f t="shared" si="22"/>
        <v>2710</v>
      </c>
      <c r="I97" s="10">
        <f t="shared" si="22"/>
        <v>7036</v>
      </c>
      <c r="J97" s="10">
        <f t="shared" si="22"/>
        <v>355</v>
      </c>
      <c r="K97" s="10">
        <f t="shared" si="22"/>
        <v>656</v>
      </c>
      <c r="L97" s="10">
        <f t="shared" si="22"/>
        <v>347</v>
      </c>
      <c r="M97" s="10">
        <f t="shared" si="22"/>
        <v>783</v>
      </c>
      <c r="N97" s="10">
        <f t="shared" si="22"/>
        <v>312.64</v>
      </c>
      <c r="O97" s="10">
        <f t="shared" si="22"/>
        <v>636.79999999999995</v>
      </c>
      <c r="P97" s="10">
        <f t="shared" si="22"/>
        <v>2.9699999999999136</v>
      </c>
      <c r="Q97" s="10">
        <f t="shared" si="22"/>
        <v>24.210000000000178</v>
      </c>
      <c r="R97" s="10">
        <f t="shared" si="22"/>
        <v>871.18000000000018</v>
      </c>
      <c r="S97" s="10">
        <f t="shared" si="22"/>
        <v>2139.6100000000015</v>
      </c>
      <c r="T97" s="10">
        <f t="shared" si="22"/>
        <v>1587</v>
      </c>
      <c r="U97" s="10">
        <f t="shared" si="22"/>
        <v>2798</v>
      </c>
      <c r="V97" s="10">
        <f t="shared" si="22"/>
        <v>1843</v>
      </c>
      <c r="W97" s="10">
        <f t="shared" si="22"/>
        <v>5067</v>
      </c>
      <c r="X97" s="10">
        <f t="shared" si="22"/>
        <v>2586</v>
      </c>
      <c r="Y97" s="10">
        <f t="shared" si="22"/>
        <v>10565</v>
      </c>
      <c r="Z97" s="10">
        <f t="shared" si="22"/>
        <v>3344</v>
      </c>
      <c r="AA97" s="10">
        <f t="shared" si="22"/>
        <v>8960</v>
      </c>
      <c r="AB97" s="10">
        <f t="shared" si="22"/>
        <v>49.230000000000274</v>
      </c>
      <c r="AC97" s="10">
        <f t="shared" si="22"/>
        <v>78.830000000000268</v>
      </c>
      <c r="AD97" s="10">
        <f t="shared" si="22"/>
        <v>309</v>
      </c>
      <c r="AE97" s="10">
        <f t="shared" si="22"/>
        <v>781</v>
      </c>
      <c r="AF97" s="10">
        <f t="shared" si="22"/>
        <v>29.42000000000013</v>
      </c>
      <c r="AG97" s="10">
        <f t="shared" si="22"/>
        <v>79.710000000000719</v>
      </c>
      <c r="AH97" s="10">
        <f t="shared" si="22"/>
        <v>2.4900000000002365</v>
      </c>
      <c r="AI97" s="10">
        <f t="shared" si="22"/>
        <v>11.869999999999891</v>
      </c>
      <c r="AJ97" s="10">
        <f t="shared" si="22"/>
        <v>0</v>
      </c>
      <c r="AK97" s="10">
        <f t="shared" si="22"/>
        <v>0</v>
      </c>
      <c r="AL97" s="10">
        <f t="shared" si="22"/>
        <v>3420.7899999999963</v>
      </c>
      <c r="AM97" s="10">
        <f t="shared" si="22"/>
        <v>11864.63999999999</v>
      </c>
      <c r="AN97" s="10">
        <f t="shared" si="22"/>
        <v>0</v>
      </c>
      <c r="AO97" s="10">
        <f t="shared" si="22"/>
        <v>0</v>
      </c>
      <c r="AP97" s="10">
        <f t="shared" si="22"/>
        <v>237</v>
      </c>
      <c r="AQ97" s="10">
        <f t="shared" si="22"/>
        <v>822</v>
      </c>
      <c r="AR97" s="10">
        <f t="shared" si="22"/>
        <v>430</v>
      </c>
      <c r="AS97" s="10">
        <f t="shared" si="22"/>
        <v>1162</v>
      </c>
      <c r="AT97" s="10">
        <f t="shared" si="22"/>
        <v>60</v>
      </c>
      <c r="AU97" s="10">
        <f t="shared" si="22"/>
        <v>188</v>
      </c>
      <c r="AV97" s="10">
        <f t="shared" si="22"/>
        <v>931</v>
      </c>
      <c r="AW97" s="10">
        <f t="shared" si="22"/>
        <v>2525</v>
      </c>
      <c r="AX97" s="10">
        <f t="shared" si="22"/>
        <v>26</v>
      </c>
      <c r="AY97" s="10">
        <f t="shared" si="22"/>
        <v>69</v>
      </c>
      <c r="AZ97" s="10">
        <f t="shared" si="22"/>
        <v>2</v>
      </c>
      <c r="BA97" s="10">
        <f t="shared" si="22"/>
        <v>3</v>
      </c>
      <c r="BB97" s="10">
        <f t="shared" si="22"/>
        <v>1938</v>
      </c>
      <c r="BC97" s="10">
        <f t="shared" si="22"/>
        <v>5672</v>
      </c>
      <c r="BD97" s="10">
        <f t="shared" si="22"/>
        <v>6121015</v>
      </c>
      <c r="BE97" s="10">
        <f t="shared" si="22"/>
        <v>18481</v>
      </c>
      <c r="BF97" s="10">
        <f t="shared" si="22"/>
        <v>2508</v>
      </c>
      <c r="BG97" s="10">
        <f t="shared" si="22"/>
        <v>5997</v>
      </c>
      <c r="BH97" s="10">
        <f t="shared" si="22"/>
        <v>2360</v>
      </c>
      <c r="BI97" s="10">
        <f t="shared" si="22"/>
        <v>6451</v>
      </c>
      <c r="BJ97" s="10">
        <f t="shared" si="22"/>
        <v>156</v>
      </c>
      <c r="BK97" s="10">
        <f t="shared" si="22"/>
        <v>433</v>
      </c>
      <c r="BL97" s="63">
        <f t="shared" si="18"/>
        <v>6147433.7199999997</v>
      </c>
      <c r="BM97" s="63">
        <f t="shared" si="19"/>
        <v>93285.67</v>
      </c>
    </row>
    <row r="98" spans="1:65" x14ac:dyDescent="0.25">
      <c r="A98" s="24" t="s">
        <v>296</v>
      </c>
      <c r="B98" s="9">
        <f t="shared" ref="B98:AE98" si="23">B109-B87-B76-B65-B54-B43-B32-B21-B10</f>
        <v>0</v>
      </c>
      <c r="C98" s="9">
        <f t="shared" si="23"/>
        <v>0</v>
      </c>
      <c r="D98" s="9">
        <f t="shared" si="23"/>
        <v>0</v>
      </c>
      <c r="E98" s="9">
        <f t="shared" si="23"/>
        <v>0</v>
      </c>
      <c r="F98" s="9">
        <f t="shared" si="23"/>
        <v>0</v>
      </c>
      <c r="G98" s="9">
        <f t="shared" si="23"/>
        <v>0</v>
      </c>
      <c r="H98" s="9">
        <f t="shared" si="23"/>
        <v>3</v>
      </c>
      <c r="I98" s="9">
        <f t="shared" si="23"/>
        <v>13</v>
      </c>
      <c r="J98" s="9">
        <f t="shared" si="23"/>
        <v>0</v>
      </c>
      <c r="K98" s="9">
        <f t="shared" si="23"/>
        <v>0</v>
      </c>
      <c r="L98" s="9">
        <f t="shared" si="23"/>
        <v>0</v>
      </c>
      <c r="M98" s="9">
        <f t="shared" si="23"/>
        <v>0</v>
      </c>
      <c r="N98" s="9">
        <f t="shared" si="23"/>
        <v>0</v>
      </c>
      <c r="O98" s="9">
        <f t="shared" si="23"/>
        <v>0</v>
      </c>
      <c r="P98" s="9">
        <f t="shared" si="23"/>
        <v>-1.0000000000005116E-2</v>
      </c>
      <c r="Q98" s="9">
        <f t="shared" si="23"/>
        <v>0</v>
      </c>
      <c r="R98" s="9">
        <f t="shared" si="23"/>
        <v>1.0000000000005116E-2</v>
      </c>
      <c r="S98" s="9">
        <f t="shared" si="23"/>
        <v>26.419999999999959</v>
      </c>
      <c r="T98" s="9">
        <f t="shared" si="23"/>
        <v>22</v>
      </c>
      <c r="U98" s="9">
        <f t="shared" si="23"/>
        <v>105</v>
      </c>
      <c r="V98" s="9">
        <f t="shared" si="23"/>
        <v>146</v>
      </c>
      <c r="W98" s="9">
        <f t="shared" si="23"/>
        <v>344</v>
      </c>
      <c r="X98" s="9">
        <f t="shared" si="23"/>
        <v>103</v>
      </c>
      <c r="Y98" s="9">
        <f t="shared" si="23"/>
        <v>372</v>
      </c>
      <c r="Z98" s="9">
        <f t="shared" si="23"/>
        <v>41</v>
      </c>
      <c r="AA98" s="9">
        <f t="shared" si="23"/>
        <v>136</v>
      </c>
      <c r="AB98" s="9">
        <f t="shared" si="23"/>
        <v>2.9999999999997584E-2</v>
      </c>
      <c r="AC98" s="9">
        <f t="shared" si="23"/>
        <v>1.8100000000000023</v>
      </c>
      <c r="AD98" s="9">
        <f t="shared" si="23"/>
        <v>14</v>
      </c>
      <c r="AE98" s="9">
        <f t="shared" si="23"/>
        <v>20</v>
      </c>
      <c r="AF98" s="9">
        <f t="shared" ref="AF98:BK98" si="24">AF109-AF87-AF76-AF65-AF54-AF43-AF32-AF21-AF10</f>
        <v>16.209999999999994</v>
      </c>
      <c r="AG98" s="9">
        <f t="shared" si="24"/>
        <v>30.629999999999995</v>
      </c>
      <c r="AH98" s="9">
        <f t="shared" si="24"/>
        <v>0</v>
      </c>
      <c r="AI98" s="9">
        <f t="shared" si="24"/>
        <v>0</v>
      </c>
      <c r="AJ98" s="9">
        <f t="shared" si="24"/>
        <v>0</v>
      </c>
      <c r="AK98" s="9">
        <f t="shared" si="24"/>
        <v>0</v>
      </c>
      <c r="AL98" s="9">
        <f t="shared" si="24"/>
        <v>333.31000000000006</v>
      </c>
      <c r="AM98" s="9">
        <f t="shared" si="24"/>
        <v>-887.78</v>
      </c>
      <c r="AN98" s="9">
        <f t="shared" si="24"/>
        <v>0</v>
      </c>
      <c r="AO98" s="9">
        <f t="shared" si="24"/>
        <v>1</v>
      </c>
      <c r="AP98" s="9">
        <f t="shared" si="24"/>
        <v>25</v>
      </c>
      <c r="AQ98" s="9">
        <f t="shared" si="24"/>
        <v>126</v>
      </c>
      <c r="AR98" s="9">
        <f t="shared" si="24"/>
        <v>28</v>
      </c>
      <c r="AS98" s="9">
        <f t="shared" si="24"/>
        <v>42</v>
      </c>
      <c r="AT98" s="9">
        <f t="shared" si="24"/>
        <v>0</v>
      </c>
      <c r="AU98" s="9">
        <f t="shared" si="24"/>
        <v>1</v>
      </c>
      <c r="AV98" s="9">
        <f t="shared" si="24"/>
        <v>13</v>
      </c>
      <c r="AW98" s="9">
        <f t="shared" si="24"/>
        <v>82</v>
      </c>
      <c r="AX98" s="9">
        <f t="shared" si="24"/>
        <v>0</v>
      </c>
      <c r="AY98" s="9">
        <f t="shared" si="24"/>
        <v>0</v>
      </c>
      <c r="AZ98" s="9">
        <f t="shared" si="24"/>
        <v>0</v>
      </c>
      <c r="BA98" s="9">
        <f t="shared" si="24"/>
        <v>0</v>
      </c>
      <c r="BB98" s="9">
        <f t="shared" si="24"/>
        <v>301</v>
      </c>
      <c r="BC98" s="9">
        <f t="shared" si="24"/>
        <v>684</v>
      </c>
      <c r="BD98" s="9">
        <f t="shared" si="24"/>
        <v>574763</v>
      </c>
      <c r="BE98" s="9">
        <f t="shared" si="24"/>
        <v>82</v>
      </c>
      <c r="BF98" s="9">
        <f t="shared" si="24"/>
        <v>18</v>
      </c>
      <c r="BG98" s="9">
        <f t="shared" si="24"/>
        <v>65</v>
      </c>
      <c r="BH98" s="9">
        <f t="shared" si="24"/>
        <v>36</v>
      </c>
      <c r="BI98" s="9">
        <f t="shared" si="24"/>
        <v>41</v>
      </c>
      <c r="BJ98" s="9">
        <f t="shared" si="24"/>
        <v>0</v>
      </c>
      <c r="BK98" s="9">
        <f t="shared" si="24"/>
        <v>0</v>
      </c>
      <c r="BL98" s="68">
        <f t="shared" si="18"/>
        <v>575862.55000000005</v>
      </c>
      <c r="BM98" s="68">
        <f t="shared" si="19"/>
        <v>1285.0800000000002</v>
      </c>
    </row>
    <row r="99" spans="1:65" x14ac:dyDescent="0.25">
      <c r="A99" s="24" t="s">
        <v>297</v>
      </c>
      <c r="B99" s="9">
        <f t="shared" ref="B99:AE99" si="25">B110-B88-B77-B66-B55-B44-B33-B22-B11</f>
        <v>43</v>
      </c>
      <c r="C99" s="9">
        <f t="shared" si="25"/>
        <v>82</v>
      </c>
      <c r="D99" s="9">
        <f t="shared" si="25"/>
        <v>0</v>
      </c>
      <c r="E99" s="9">
        <f t="shared" si="25"/>
        <v>0</v>
      </c>
      <c r="F99" s="9">
        <f t="shared" si="25"/>
        <v>0</v>
      </c>
      <c r="G99" s="9">
        <f t="shared" si="25"/>
        <v>0</v>
      </c>
      <c r="H99" s="9">
        <f t="shared" si="25"/>
        <v>-2895</v>
      </c>
      <c r="I99" s="9">
        <f t="shared" si="25"/>
        <v>-8559</v>
      </c>
      <c r="J99" s="9">
        <f t="shared" si="25"/>
        <v>133</v>
      </c>
      <c r="K99" s="9">
        <f t="shared" si="25"/>
        <v>266</v>
      </c>
      <c r="L99" s="9">
        <f t="shared" si="25"/>
        <v>49</v>
      </c>
      <c r="M99" s="9">
        <f t="shared" si="25"/>
        <v>159</v>
      </c>
      <c r="N99" s="9">
        <f t="shared" si="25"/>
        <v>819.47</v>
      </c>
      <c r="O99" s="9">
        <f t="shared" si="25"/>
        <v>2125.83</v>
      </c>
      <c r="P99" s="9">
        <f t="shared" si="25"/>
        <v>0.23999999999985278</v>
      </c>
      <c r="Q99" s="9">
        <f t="shared" si="25"/>
        <v>2.1400000000001</v>
      </c>
      <c r="R99" s="9">
        <f t="shared" si="25"/>
        <v>1040.2700000000002</v>
      </c>
      <c r="S99" s="9">
        <f t="shared" si="25"/>
        <v>1903.6899999999996</v>
      </c>
      <c r="T99" s="9">
        <f t="shared" si="25"/>
        <v>-1343</v>
      </c>
      <c r="U99" s="9">
        <f t="shared" si="25"/>
        <v>-1200</v>
      </c>
      <c r="V99" s="9">
        <f t="shared" si="25"/>
        <v>-1970</v>
      </c>
      <c r="W99" s="9">
        <f t="shared" si="25"/>
        <v>-5701</v>
      </c>
      <c r="X99" s="9">
        <f t="shared" si="25"/>
        <v>1478</v>
      </c>
      <c r="Y99" s="9">
        <f t="shared" si="25"/>
        <v>4656</v>
      </c>
      <c r="Z99" s="9">
        <f t="shared" si="25"/>
        <v>681</v>
      </c>
      <c r="AA99" s="9">
        <f t="shared" si="25"/>
        <v>2187</v>
      </c>
      <c r="AB99" s="9">
        <f t="shared" si="25"/>
        <v>54.970000000000141</v>
      </c>
      <c r="AC99" s="9">
        <f t="shared" si="25"/>
        <v>112.55000000000007</v>
      </c>
      <c r="AD99" s="9">
        <f t="shared" si="25"/>
        <v>99</v>
      </c>
      <c r="AE99" s="9">
        <f t="shared" si="25"/>
        <v>353</v>
      </c>
      <c r="AF99" s="9">
        <f t="shared" ref="AF99:BK99" si="26">AF110-AF88-AF77-AF66-AF55-AF44-AF33-AF22-AF11</f>
        <v>-94.019999999999868</v>
      </c>
      <c r="AG99" s="9">
        <f t="shared" si="26"/>
        <v>-262.00000000000045</v>
      </c>
      <c r="AH99" s="9">
        <f t="shared" si="26"/>
        <v>0.21000000000000796</v>
      </c>
      <c r="AI99" s="9">
        <f t="shared" si="26"/>
        <v>1.5499999999999545</v>
      </c>
      <c r="AJ99" s="9">
        <f t="shared" si="26"/>
        <v>0</v>
      </c>
      <c r="AK99" s="9">
        <f t="shared" si="26"/>
        <v>0</v>
      </c>
      <c r="AL99" s="9">
        <f t="shared" si="26"/>
        <v>-2573.6999999999998</v>
      </c>
      <c r="AM99" s="9">
        <f t="shared" si="26"/>
        <v>-5554.1900000000014</v>
      </c>
      <c r="AN99" s="9">
        <f t="shared" si="26"/>
        <v>0</v>
      </c>
      <c r="AO99" s="9">
        <f t="shared" si="26"/>
        <v>-1</v>
      </c>
      <c r="AP99" s="9">
        <f t="shared" si="26"/>
        <v>11</v>
      </c>
      <c r="AQ99" s="9">
        <f t="shared" si="26"/>
        <v>109</v>
      </c>
      <c r="AR99" s="9">
        <f t="shared" si="26"/>
        <v>87</v>
      </c>
      <c r="AS99" s="9">
        <f t="shared" si="26"/>
        <v>208</v>
      </c>
      <c r="AT99" s="9">
        <f t="shared" si="26"/>
        <v>41</v>
      </c>
      <c r="AU99" s="9">
        <f t="shared" si="26"/>
        <v>384</v>
      </c>
      <c r="AV99" s="9">
        <f t="shared" si="26"/>
        <v>720</v>
      </c>
      <c r="AW99" s="9">
        <f t="shared" si="26"/>
        <v>2399</v>
      </c>
      <c r="AX99" s="9">
        <f t="shared" si="26"/>
        <v>25</v>
      </c>
      <c r="AY99" s="9">
        <f t="shared" si="26"/>
        <v>54</v>
      </c>
      <c r="AZ99" s="9">
        <f t="shared" si="26"/>
        <v>2</v>
      </c>
      <c r="BA99" s="9">
        <f t="shared" si="26"/>
        <v>2</v>
      </c>
      <c r="BB99" s="9">
        <f t="shared" si="26"/>
        <v>2911</v>
      </c>
      <c r="BC99" s="9">
        <f t="shared" si="26"/>
        <v>9386</v>
      </c>
      <c r="BD99" s="9">
        <f t="shared" si="26"/>
        <v>1450480</v>
      </c>
      <c r="BE99" s="9">
        <f t="shared" si="26"/>
        <v>5048</v>
      </c>
      <c r="BF99" s="9">
        <f t="shared" si="26"/>
        <v>-376</v>
      </c>
      <c r="BG99" s="9">
        <f t="shared" si="26"/>
        <v>537</v>
      </c>
      <c r="BH99" s="9">
        <f t="shared" si="26"/>
        <v>29</v>
      </c>
      <c r="BI99" s="9">
        <f t="shared" si="26"/>
        <v>866</v>
      </c>
      <c r="BJ99" s="9">
        <f t="shared" si="26"/>
        <v>19</v>
      </c>
      <c r="BK99" s="9">
        <f t="shared" si="26"/>
        <v>107</v>
      </c>
      <c r="BL99" s="68">
        <f t="shared" si="18"/>
        <v>1449471.44</v>
      </c>
      <c r="BM99" s="68">
        <f t="shared" si="19"/>
        <v>9671.5699999999979</v>
      </c>
    </row>
    <row r="100" spans="1:65" s="7" customFormat="1" x14ac:dyDescent="0.25">
      <c r="A100" s="10" t="s">
        <v>190</v>
      </c>
      <c r="B100" s="10">
        <f>B111-B89-B78-B67-B56-B45-B34-B23-B12</f>
        <v>-42</v>
      </c>
      <c r="C100" s="10">
        <f t="shared" ref="C100:AE100" si="27">C111-C89-C78-C67-C56-C45-C34-C23-C12</f>
        <v>-81</v>
      </c>
      <c r="D100" s="10">
        <f t="shared" si="27"/>
        <v>0</v>
      </c>
      <c r="E100" s="10">
        <f t="shared" si="27"/>
        <v>0</v>
      </c>
      <c r="F100" s="10">
        <f t="shared" si="27"/>
        <v>0</v>
      </c>
      <c r="G100" s="10">
        <f t="shared" si="27"/>
        <v>0</v>
      </c>
      <c r="H100" s="10">
        <f t="shared" si="27"/>
        <v>-181</v>
      </c>
      <c r="I100" s="10">
        <f t="shared" si="27"/>
        <v>-1508</v>
      </c>
      <c r="J100" s="10">
        <f t="shared" si="27"/>
        <v>222</v>
      </c>
      <c r="K100" s="10">
        <f t="shared" si="27"/>
        <v>390</v>
      </c>
      <c r="L100" s="10">
        <f t="shared" si="27"/>
        <v>299</v>
      </c>
      <c r="M100" s="10">
        <f t="shared" si="27"/>
        <v>624</v>
      </c>
      <c r="N100" s="10">
        <f t="shared" si="27"/>
        <v>-506.83</v>
      </c>
      <c r="O100" s="10">
        <f t="shared" si="27"/>
        <v>-1489.03</v>
      </c>
      <c r="P100" s="10">
        <f t="shared" si="27"/>
        <v>2.7199999999999984</v>
      </c>
      <c r="Q100" s="10">
        <f t="shared" si="27"/>
        <v>22.070000000000007</v>
      </c>
      <c r="R100" s="10">
        <f t="shared" si="27"/>
        <v>-169.09000000000006</v>
      </c>
      <c r="S100" s="10">
        <f t="shared" si="27"/>
        <v>262.37000000000035</v>
      </c>
      <c r="T100" s="10">
        <f t="shared" si="27"/>
        <v>646</v>
      </c>
      <c r="U100" s="10">
        <f t="shared" si="27"/>
        <v>1703</v>
      </c>
      <c r="V100" s="10">
        <f t="shared" si="27"/>
        <v>19</v>
      </c>
      <c r="W100" s="10">
        <f t="shared" si="27"/>
        <v>-290</v>
      </c>
      <c r="X100" s="10">
        <f t="shared" si="27"/>
        <v>1211</v>
      </c>
      <c r="Y100" s="10">
        <f t="shared" si="27"/>
        <v>6281</v>
      </c>
      <c r="Z100" s="10">
        <f t="shared" si="27"/>
        <v>2706</v>
      </c>
      <c r="AA100" s="10">
        <f t="shared" si="27"/>
        <v>6909</v>
      </c>
      <c r="AB100" s="10">
        <f t="shared" si="27"/>
        <v>-5.7099999999999653</v>
      </c>
      <c r="AC100" s="10">
        <f t="shared" si="27"/>
        <v>-31.909999999999968</v>
      </c>
      <c r="AD100" s="10">
        <f t="shared" si="27"/>
        <v>224</v>
      </c>
      <c r="AE100" s="10">
        <f t="shared" si="27"/>
        <v>448</v>
      </c>
      <c r="AF100" s="10">
        <f t="shared" ref="AF100:BK100" si="28">AF111-AF89-AF78-AF67-AF56-AF45-AF34-AF23-AF12</f>
        <v>-48.389999999999887</v>
      </c>
      <c r="AG100" s="10">
        <f t="shared" si="28"/>
        <v>-151.65999999999968</v>
      </c>
      <c r="AH100" s="10">
        <f t="shared" si="28"/>
        <v>2.2699999999999818</v>
      </c>
      <c r="AI100" s="10">
        <f t="shared" si="28"/>
        <v>10.329999999999927</v>
      </c>
      <c r="AJ100" s="10">
        <f t="shared" si="28"/>
        <v>0</v>
      </c>
      <c r="AK100" s="10">
        <f t="shared" si="28"/>
        <v>0</v>
      </c>
      <c r="AL100" s="10">
        <f t="shared" si="28"/>
        <v>1442.5099999999998</v>
      </c>
      <c r="AM100" s="10">
        <f t="shared" si="28"/>
        <v>2566.5299999999879</v>
      </c>
      <c r="AN100" s="10">
        <f t="shared" si="28"/>
        <v>1</v>
      </c>
      <c r="AO100" s="10">
        <f t="shared" si="28"/>
        <v>-1</v>
      </c>
      <c r="AP100" s="10">
        <f t="shared" si="28"/>
        <v>248</v>
      </c>
      <c r="AQ100" s="10">
        <f t="shared" si="28"/>
        <v>837</v>
      </c>
      <c r="AR100" s="10">
        <f t="shared" si="28"/>
        <v>370</v>
      </c>
      <c r="AS100" s="10">
        <f t="shared" si="28"/>
        <v>996</v>
      </c>
      <c r="AT100" s="10">
        <f t="shared" si="28"/>
        <v>18</v>
      </c>
      <c r="AU100" s="10">
        <f t="shared" si="28"/>
        <v>-196</v>
      </c>
      <c r="AV100" s="10">
        <f t="shared" si="28"/>
        <v>222</v>
      </c>
      <c r="AW100" s="10">
        <f t="shared" si="28"/>
        <v>206</v>
      </c>
      <c r="AX100" s="10">
        <f t="shared" si="28"/>
        <v>1</v>
      </c>
      <c r="AY100" s="10">
        <f t="shared" si="28"/>
        <v>16</v>
      </c>
      <c r="AZ100" s="10">
        <f t="shared" si="28"/>
        <v>0</v>
      </c>
      <c r="BA100" s="10">
        <f t="shared" si="28"/>
        <v>0</v>
      </c>
      <c r="BB100" s="10">
        <f t="shared" si="28"/>
        <v>-673</v>
      </c>
      <c r="BC100" s="10">
        <f t="shared" si="28"/>
        <v>-3029</v>
      </c>
      <c r="BD100" s="10">
        <f t="shared" si="28"/>
        <v>5245298</v>
      </c>
      <c r="BE100" s="10">
        <f t="shared" si="28"/>
        <v>13516</v>
      </c>
      <c r="BF100" s="10">
        <f t="shared" si="28"/>
        <v>1975</v>
      </c>
      <c r="BG100" s="10">
        <f t="shared" si="28"/>
        <v>5524</v>
      </c>
      <c r="BH100" s="10">
        <f t="shared" si="28"/>
        <v>2366</v>
      </c>
      <c r="BI100" s="10">
        <f t="shared" si="28"/>
        <v>5626</v>
      </c>
      <c r="BJ100" s="10">
        <f t="shared" si="28"/>
        <v>138</v>
      </c>
      <c r="BK100" s="10">
        <f t="shared" si="28"/>
        <v>327</v>
      </c>
      <c r="BL100" s="63">
        <f t="shared" si="18"/>
        <v>5255785.4800000004</v>
      </c>
      <c r="BM100" s="63">
        <f t="shared" si="19"/>
        <v>39486.69999999999</v>
      </c>
    </row>
    <row r="101" spans="1:65" x14ac:dyDescent="0.25">
      <c r="A101" s="22"/>
    </row>
    <row r="102" spans="1:65" x14ac:dyDescent="0.25">
      <c r="A102" s="23" t="s">
        <v>40</v>
      </c>
    </row>
    <row r="103" spans="1:65" x14ac:dyDescent="0.25">
      <c r="A103" s="3" t="s">
        <v>0</v>
      </c>
      <c r="B103" s="153" t="s">
        <v>1</v>
      </c>
      <c r="C103" s="154"/>
      <c r="D103" s="153" t="s">
        <v>234</v>
      </c>
      <c r="E103" s="154"/>
      <c r="F103" s="153" t="s">
        <v>2</v>
      </c>
      <c r="G103" s="154"/>
      <c r="H103" s="153" t="s">
        <v>3</v>
      </c>
      <c r="I103" s="154"/>
      <c r="J103" s="153" t="s">
        <v>243</v>
      </c>
      <c r="K103" s="154"/>
      <c r="L103" s="153" t="s">
        <v>235</v>
      </c>
      <c r="M103" s="154"/>
      <c r="N103" s="153" t="s">
        <v>5</v>
      </c>
      <c r="O103" s="154"/>
      <c r="P103" s="153" t="s">
        <v>4</v>
      </c>
      <c r="Q103" s="154"/>
      <c r="R103" s="153" t="s">
        <v>6</v>
      </c>
      <c r="S103" s="154"/>
      <c r="T103" s="153" t="s">
        <v>246</v>
      </c>
      <c r="U103" s="154"/>
      <c r="V103" s="153" t="s">
        <v>7</v>
      </c>
      <c r="W103" s="154"/>
      <c r="X103" s="153" t="s">
        <v>8</v>
      </c>
      <c r="Y103" s="154"/>
      <c r="Z103" s="153" t="s">
        <v>9</v>
      </c>
      <c r="AA103" s="154"/>
      <c r="AB103" s="153" t="s">
        <v>242</v>
      </c>
      <c r="AC103" s="154"/>
      <c r="AD103" s="153" t="s">
        <v>10</v>
      </c>
      <c r="AE103" s="154"/>
      <c r="AF103" s="153" t="s">
        <v>11</v>
      </c>
      <c r="AG103" s="154"/>
      <c r="AH103" s="153" t="s">
        <v>236</v>
      </c>
      <c r="AI103" s="154"/>
      <c r="AJ103" s="153" t="s">
        <v>245</v>
      </c>
      <c r="AK103" s="154"/>
      <c r="AL103" s="153" t="s">
        <v>12</v>
      </c>
      <c r="AM103" s="154"/>
      <c r="AN103" s="153" t="s">
        <v>237</v>
      </c>
      <c r="AO103" s="154"/>
      <c r="AP103" s="153" t="s">
        <v>238</v>
      </c>
      <c r="AQ103" s="154"/>
      <c r="AR103" s="153" t="s">
        <v>241</v>
      </c>
      <c r="AS103" s="154"/>
      <c r="AT103" s="153" t="s">
        <v>13</v>
      </c>
      <c r="AU103" s="154"/>
      <c r="AV103" s="153" t="s">
        <v>14</v>
      </c>
      <c r="AW103" s="154"/>
      <c r="AX103" s="153" t="s">
        <v>15</v>
      </c>
      <c r="AY103" s="154"/>
      <c r="AZ103" s="153" t="s">
        <v>16</v>
      </c>
      <c r="BA103" s="154"/>
      <c r="BB103" s="153" t="s">
        <v>17</v>
      </c>
      <c r="BC103" s="154"/>
      <c r="BD103" s="153" t="s">
        <v>239</v>
      </c>
      <c r="BE103" s="154"/>
      <c r="BF103" s="153" t="s">
        <v>240</v>
      </c>
      <c r="BG103" s="154"/>
      <c r="BH103" s="153" t="s">
        <v>18</v>
      </c>
      <c r="BI103" s="154"/>
      <c r="BJ103" s="153" t="s">
        <v>19</v>
      </c>
      <c r="BK103" s="154"/>
      <c r="BL103" s="155" t="s">
        <v>20</v>
      </c>
      <c r="BM103" s="156"/>
    </row>
    <row r="104" spans="1:65" ht="30" x14ac:dyDescent="0.25">
      <c r="A104" s="3"/>
      <c r="B104" s="53" t="s">
        <v>303</v>
      </c>
      <c r="C104" s="54" t="s">
        <v>302</v>
      </c>
      <c r="D104" s="53" t="s">
        <v>303</v>
      </c>
      <c r="E104" s="54" t="s">
        <v>302</v>
      </c>
      <c r="F104" s="53" t="s">
        <v>303</v>
      </c>
      <c r="G104" s="54" t="s">
        <v>302</v>
      </c>
      <c r="H104" s="53" t="s">
        <v>303</v>
      </c>
      <c r="I104" s="54" t="s">
        <v>302</v>
      </c>
      <c r="J104" s="53" t="s">
        <v>303</v>
      </c>
      <c r="K104" s="54" t="s">
        <v>302</v>
      </c>
      <c r="L104" s="53" t="s">
        <v>303</v>
      </c>
      <c r="M104" s="54" t="s">
        <v>302</v>
      </c>
      <c r="N104" s="53" t="s">
        <v>303</v>
      </c>
      <c r="O104" s="54" t="s">
        <v>302</v>
      </c>
      <c r="P104" s="53" t="s">
        <v>303</v>
      </c>
      <c r="Q104" s="54" t="s">
        <v>302</v>
      </c>
      <c r="R104" s="53" t="s">
        <v>303</v>
      </c>
      <c r="S104" s="54" t="s">
        <v>302</v>
      </c>
      <c r="T104" s="53" t="s">
        <v>303</v>
      </c>
      <c r="U104" s="54" t="s">
        <v>302</v>
      </c>
      <c r="V104" s="53" t="s">
        <v>303</v>
      </c>
      <c r="W104" s="54" t="s">
        <v>302</v>
      </c>
      <c r="X104" s="53" t="s">
        <v>303</v>
      </c>
      <c r="Y104" s="54" t="s">
        <v>302</v>
      </c>
      <c r="Z104" s="53" t="s">
        <v>303</v>
      </c>
      <c r="AA104" s="54" t="s">
        <v>302</v>
      </c>
      <c r="AB104" s="53" t="s">
        <v>303</v>
      </c>
      <c r="AC104" s="54" t="s">
        <v>302</v>
      </c>
      <c r="AD104" s="53" t="s">
        <v>303</v>
      </c>
      <c r="AE104" s="54" t="s">
        <v>302</v>
      </c>
      <c r="AF104" s="53" t="s">
        <v>303</v>
      </c>
      <c r="AG104" s="54" t="s">
        <v>302</v>
      </c>
      <c r="AH104" s="53" t="s">
        <v>303</v>
      </c>
      <c r="AI104" s="54" t="s">
        <v>302</v>
      </c>
      <c r="AJ104" s="53" t="s">
        <v>303</v>
      </c>
      <c r="AK104" s="54" t="s">
        <v>302</v>
      </c>
      <c r="AL104" s="53" t="s">
        <v>303</v>
      </c>
      <c r="AM104" s="54" t="s">
        <v>302</v>
      </c>
      <c r="AN104" s="53" t="s">
        <v>303</v>
      </c>
      <c r="AO104" s="54" t="s">
        <v>302</v>
      </c>
      <c r="AP104" s="53" t="s">
        <v>303</v>
      </c>
      <c r="AQ104" s="54" t="s">
        <v>302</v>
      </c>
      <c r="AR104" s="53" t="s">
        <v>303</v>
      </c>
      <c r="AS104" s="54" t="s">
        <v>302</v>
      </c>
      <c r="AT104" s="53" t="s">
        <v>303</v>
      </c>
      <c r="AU104" s="54" t="s">
        <v>302</v>
      </c>
      <c r="AV104" s="53" t="s">
        <v>303</v>
      </c>
      <c r="AW104" s="54" t="s">
        <v>302</v>
      </c>
      <c r="AX104" s="53" t="s">
        <v>303</v>
      </c>
      <c r="AY104" s="54" t="s">
        <v>302</v>
      </c>
      <c r="AZ104" s="53" t="s">
        <v>303</v>
      </c>
      <c r="BA104" s="54" t="s">
        <v>302</v>
      </c>
      <c r="BB104" s="53" t="s">
        <v>303</v>
      </c>
      <c r="BC104" s="54" t="s">
        <v>302</v>
      </c>
      <c r="BD104" s="53" t="s">
        <v>303</v>
      </c>
      <c r="BE104" s="54" t="s">
        <v>302</v>
      </c>
      <c r="BF104" s="53" t="s">
        <v>303</v>
      </c>
      <c r="BG104" s="54" t="s">
        <v>302</v>
      </c>
      <c r="BH104" s="53" t="s">
        <v>303</v>
      </c>
      <c r="BI104" s="54" t="s">
        <v>302</v>
      </c>
      <c r="BJ104" s="53" t="s">
        <v>303</v>
      </c>
      <c r="BK104" s="54" t="s">
        <v>302</v>
      </c>
      <c r="BL104" s="105" t="s">
        <v>303</v>
      </c>
      <c r="BM104" s="106" t="s">
        <v>302</v>
      </c>
    </row>
    <row r="105" spans="1:65" x14ac:dyDescent="0.25">
      <c r="A105" s="24" t="s">
        <v>292</v>
      </c>
      <c r="B105" s="92">
        <v>506</v>
      </c>
      <c r="C105" s="92">
        <v>1455</v>
      </c>
      <c r="D105" s="92">
        <v>4410</v>
      </c>
      <c r="E105" s="92">
        <v>13036</v>
      </c>
      <c r="F105" s="92">
        <v>2376</v>
      </c>
      <c r="G105" s="92">
        <v>3797</v>
      </c>
      <c r="H105" s="92">
        <v>19345</v>
      </c>
      <c r="I105" s="92">
        <v>53642</v>
      </c>
      <c r="J105" s="92">
        <v>10443</v>
      </c>
      <c r="K105" s="92">
        <v>27398</v>
      </c>
      <c r="L105" s="92">
        <v>13647</v>
      </c>
      <c r="M105" s="92">
        <v>33284</v>
      </c>
      <c r="N105" s="76">
        <v>312.64</v>
      </c>
      <c r="O105" s="76">
        <v>636.79999999999995</v>
      </c>
      <c r="P105" s="92">
        <v>724.7</v>
      </c>
      <c r="Q105" s="92">
        <v>1750.23</v>
      </c>
      <c r="R105" s="92">
        <v>5717.72</v>
      </c>
      <c r="S105" s="92">
        <v>16836.810000000001</v>
      </c>
      <c r="T105" s="92">
        <v>6398</v>
      </c>
      <c r="U105" s="92">
        <v>15128</v>
      </c>
      <c r="V105" s="92">
        <v>25314</v>
      </c>
      <c r="W105" s="92">
        <v>70776</v>
      </c>
      <c r="X105" s="92">
        <v>32138</v>
      </c>
      <c r="Y105" s="92">
        <v>86919</v>
      </c>
      <c r="Z105" s="92">
        <v>15118</v>
      </c>
      <c r="AA105" s="92">
        <v>43038</v>
      </c>
      <c r="AB105" s="92">
        <v>1685.72</v>
      </c>
      <c r="AC105" s="92">
        <v>3535.86</v>
      </c>
      <c r="AD105" s="92">
        <v>3010</v>
      </c>
      <c r="AE105" s="92">
        <v>8602</v>
      </c>
      <c r="AF105" s="69">
        <v>2737.79</v>
      </c>
      <c r="AG105" s="24">
        <v>6371.29</v>
      </c>
      <c r="AH105" s="92">
        <v>2336.4699999999998</v>
      </c>
      <c r="AI105" s="92">
        <v>6806.67</v>
      </c>
      <c r="AJ105" s="92">
        <v>6650</v>
      </c>
      <c r="AK105" s="92">
        <v>19345</v>
      </c>
      <c r="AL105" s="76"/>
      <c r="AM105" s="76"/>
      <c r="AN105" s="92">
        <v>148</v>
      </c>
      <c r="AO105" s="92">
        <v>396</v>
      </c>
      <c r="AP105" s="92">
        <v>1083</v>
      </c>
      <c r="AQ105" s="92">
        <v>3172</v>
      </c>
      <c r="AR105" s="76">
        <v>11572</v>
      </c>
      <c r="AS105" s="76">
        <v>32351</v>
      </c>
      <c r="AT105" s="92">
        <v>6269</v>
      </c>
      <c r="AU105" s="92">
        <v>17548</v>
      </c>
      <c r="AV105" s="92">
        <v>16494</v>
      </c>
      <c r="AW105" s="92">
        <v>39587</v>
      </c>
      <c r="AX105" s="92">
        <v>2289</v>
      </c>
      <c r="AY105" s="92">
        <v>6222</v>
      </c>
      <c r="AZ105" s="92">
        <v>3784</v>
      </c>
      <c r="BA105" s="92">
        <v>95172</v>
      </c>
      <c r="BB105" s="92">
        <v>17720</v>
      </c>
      <c r="BC105" s="92">
        <v>49607</v>
      </c>
      <c r="BD105" s="76"/>
      <c r="BE105" s="76"/>
      <c r="BF105" s="92">
        <v>26989</v>
      </c>
      <c r="BG105" s="92">
        <v>73502</v>
      </c>
      <c r="BH105" s="9"/>
      <c r="BI105" s="9"/>
      <c r="BJ105" s="92">
        <v>4688</v>
      </c>
      <c r="BK105" s="92">
        <v>14207</v>
      </c>
      <c r="BL105" s="68">
        <f t="shared" ref="BL105:BL111" si="29">SUM(B105+D105+F105+H105+J105+L105+N105+P105+R105+T105+V105+X105+Z105+AB105+AD105+AF105+AH105+AJ105+AL105+AN105+AP105+AR105+AT105+AV105+AX105+AZ105+BB105+BD105+BF105+BH105+BJ105)</f>
        <v>243906.04</v>
      </c>
      <c r="BM105" s="68">
        <f t="shared" ref="BM105:BM111" si="30">SUM(C105+E105+G105+I105+K105+M105+O105+Q105+S105+U105+W105+Y105+AA105+AC105+AE105+AG105+AI105+AK105+AM105+AO105+AQ105+AS105+AU105+AW105+AY105+BA105+BC105+BE105+BG105+BI105+BK105)</f>
        <v>744121.65999999992</v>
      </c>
    </row>
    <row r="106" spans="1:65" s="71" customFormat="1" x14ac:dyDescent="0.25">
      <c r="A106" s="24" t="s">
        <v>293</v>
      </c>
      <c r="B106" s="92">
        <v>38</v>
      </c>
      <c r="C106" s="92">
        <v>113</v>
      </c>
      <c r="D106" s="92">
        <v>507</v>
      </c>
      <c r="E106" s="92">
        <v>1277</v>
      </c>
      <c r="F106" s="92">
        <v>0</v>
      </c>
      <c r="G106" s="92">
        <v>0</v>
      </c>
      <c r="H106" s="92">
        <v>3004</v>
      </c>
      <c r="I106" s="92">
        <v>7234</v>
      </c>
      <c r="J106" s="92">
        <v>2368</v>
      </c>
      <c r="K106" s="92">
        <v>6368</v>
      </c>
      <c r="L106" s="92">
        <v>846</v>
      </c>
      <c r="M106" s="92">
        <v>2905</v>
      </c>
      <c r="N106" s="92"/>
      <c r="O106" s="92"/>
      <c r="P106" s="92">
        <v>124.42</v>
      </c>
      <c r="Q106" s="92">
        <v>309.69</v>
      </c>
      <c r="R106" s="92">
        <v>80.81</v>
      </c>
      <c r="S106" s="92">
        <v>242.02</v>
      </c>
      <c r="T106" s="92">
        <v>1316</v>
      </c>
      <c r="U106" s="92">
        <v>3304</v>
      </c>
      <c r="V106" s="92">
        <v>2993</v>
      </c>
      <c r="W106" s="92">
        <v>8319</v>
      </c>
      <c r="X106" s="92">
        <v>6638</v>
      </c>
      <c r="Y106" s="92">
        <v>17389</v>
      </c>
      <c r="Z106" s="92">
        <v>2447</v>
      </c>
      <c r="AA106" s="92">
        <v>7121</v>
      </c>
      <c r="AB106" s="92">
        <v>359.95</v>
      </c>
      <c r="AC106" s="92">
        <v>612.32000000000005</v>
      </c>
      <c r="AD106" s="92">
        <v>908</v>
      </c>
      <c r="AE106" s="92">
        <v>2136</v>
      </c>
      <c r="AF106" s="69">
        <v>675.69</v>
      </c>
      <c r="AG106" s="24">
        <v>1559.19</v>
      </c>
      <c r="AH106" s="92">
        <v>289.47000000000003</v>
      </c>
      <c r="AI106" s="92">
        <v>673.85</v>
      </c>
      <c r="AJ106" s="92">
        <v>1602</v>
      </c>
      <c r="AK106" s="92">
        <v>3701</v>
      </c>
      <c r="AL106" s="92"/>
      <c r="AM106" s="92"/>
      <c r="AN106" s="92">
        <v>7</v>
      </c>
      <c r="AO106" s="92">
        <v>11</v>
      </c>
      <c r="AP106" s="92">
        <v>109</v>
      </c>
      <c r="AQ106" s="92">
        <v>421</v>
      </c>
      <c r="AR106" s="92">
        <v>1985</v>
      </c>
      <c r="AS106" s="92">
        <v>5781</v>
      </c>
      <c r="AT106" s="92">
        <v>1422</v>
      </c>
      <c r="AU106" s="92">
        <v>3980</v>
      </c>
      <c r="AV106" s="92">
        <v>2157</v>
      </c>
      <c r="AW106" s="92">
        <v>5790</v>
      </c>
      <c r="AX106" s="92">
        <v>375</v>
      </c>
      <c r="AY106" s="92">
        <v>829</v>
      </c>
      <c r="AZ106" s="92">
        <v>34389</v>
      </c>
      <c r="BA106" s="92">
        <v>9594</v>
      </c>
      <c r="BB106" s="92">
        <v>3008</v>
      </c>
      <c r="BC106" s="92">
        <v>9078</v>
      </c>
      <c r="BD106" s="92"/>
      <c r="BE106" s="92"/>
      <c r="BF106" s="92">
        <v>0</v>
      </c>
      <c r="BG106" s="92">
        <v>0</v>
      </c>
      <c r="BH106" s="92"/>
      <c r="BI106" s="92"/>
      <c r="BJ106" s="92">
        <v>1127</v>
      </c>
      <c r="BK106" s="92">
        <v>2957</v>
      </c>
      <c r="BL106" s="68">
        <f t="shared" si="29"/>
        <v>68776.34</v>
      </c>
      <c r="BM106" s="68">
        <f t="shared" si="30"/>
        <v>101705.07</v>
      </c>
    </row>
    <row r="107" spans="1:65" s="71" customFormat="1" x14ac:dyDescent="0.25">
      <c r="A107" s="24" t="s">
        <v>294</v>
      </c>
      <c r="B107" s="92"/>
      <c r="C107" s="92"/>
      <c r="D107" s="92"/>
      <c r="E107" s="92"/>
      <c r="F107" s="92">
        <v>0</v>
      </c>
      <c r="G107" s="92">
        <v>0</v>
      </c>
      <c r="H107" s="92">
        <v>406</v>
      </c>
      <c r="I107" s="92">
        <v>939</v>
      </c>
      <c r="J107" s="92"/>
      <c r="K107" s="92"/>
      <c r="L107" s="92">
        <v>56</v>
      </c>
      <c r="M107" s="92">
        <v>136</v>
      </c>
      <c r="N107" s="92"/>
      <c r="O107" s="92"/>
      <c r="P107" s="92"/>
      <c r="Q107" s="92"/>
      <c r="R107" s="92">
        <v>637.58000000000004</v>
      </c>
      <c r="S107" s="92">
        <v>1592.15</v>
      </c>
      <c r="T107" s="92">
        <v>127</v>
      </c>
      <c r="U107" s="92">
        <v>290</v>
      </c>
      <c r="V107" s="92">
        <v>334</v>
      </c>
      <c r="W107" s="92">
        <v>779</v>
      </c>
      <c r="X107" s="92">
        <v>1647</v>
      </c>
      <c r="Y107" s="92">
        <v>3842</v>
      </c>
      <c r="Z107" s="92">
        <v>377</v>
      </c>
      <c r="AA107" s="92">
        <v>993</v>
      </c>
      <c r="AB107" s="92"/>
      <c r="AC107" s="92"/>
      <c r="AD107" s="92">
        <v>127</v>
      </c>
      <c r="AE107" s="92">
        <v>327</v>
      </c>
      <c r="AF107" s="69">
        <v>44.76</v>
      </c>
      <c r="AG107" s="24">
        <v>127.36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>
        <v>287</v>
      </c>
      <c r="AS107" s="92">
        <v>633</v>
      </c>
      <c r="AT107" s="92">
        <v>36</v>
      </c>
      <c r="AU107" s="92">
        <v>112</v>
      </c>
      <c r="AV107" s="92">
        <v>1</v>
      </c>
      <c r="AW107" s="92">
        <v>7</v>
      </c>
      <c r="AX107" s="92">
        <v>19</v>
      </c>
      <c r="AY107" s="92">
        <v>42</v>
      </c>
      <c r="AZ107" s="92"/>
      <c r="BA107" s="92"/>
      <c r="BB107" s="92">
        <v>2803</v>
      </c>
      <c r="BC107" s="92">
        <v>6828</v>
      </c>
      <c r="BD107" s="92"/>
      <c r="BE107" s="92"/>
      <c r="BF107" s="92">
        <v>0</v>
      </c>
      <c r="BG107" s="92">
        <v>0</v>
      </c>
      <c r="BH107" s="92"/>
      <c r="BI107" s="92"/>
      <c r="BJ107" s="92"/>
      <c r="BK107" s="92"/>
      <c r="BL107" s="68">
        <f t="shared" si="29"/>
        <v>6902.34</v>
      </c>
      <c r="BM107" s="68">
        <f t="shared" si="30"/>
        <v>16647.510000000002</v>
      </c>
    </row>
    <row r="108" spans="1:65" s="7" customFormat="1" x14ac:dyDescent="0.25">
      <c r="A108" s="10" t="s">
        <v>295</v>
      </c>
      <c r="B108" s="10">
        <v>544</v>
      </c>
      <c r="C108" s="10">
        <v>1568</v>
      </c>
      <c r="D108" s="10">
        <v>4917</v>
      </c>
      <c r="E108" s="10">
        <v>14313</v>
      </c>
      <c r="F108" s="10">
        <v>2376</v>
      </c>
      <c r="G108" s="10">
        <v>3797</v>
      </c>
      <c r="H108" s="10">
        <v>22755</v>
      </c>
      <c r="I108" s="10">
        <v>61815</v>
      </c>
      <c r="J108" s="10">
        <v>12811</v>
      </c>
      <c r="K108" s="10">
        <v>33766</v>
      </c>
      <c r="L108" s="10">
        <v>14548</v>
      </c>
      <c r="M108" s="10">
        <v>36324</v>
      </c>
      <c r="N108" s="10">
        <v>312.64</v>
      </c>
      <c r="O108" s="10">
        <v>636.79999999999995</v>
      </c>
      <c r="P108" s="10">
        <v>849.12</v>
      </c>
      <c r="Q108" s="10">
        <v>2059.92</v>
      </c>
      <c r="R108" s="10">
        <v>6436.11</v>
      </c>
      <c r="S108" s="10">
        <v>18670.990000000002</v>
      </c>
      <c r="T108" s="10">
        <v>7841</v>
      </c>
      <c r="U108" s="10">
        <v>18722</v>
      </c>
      <c r="V108" s="10">
        <v>28641</v>
      </c>
      <c r="W108" s="10">
        <v>79874</v>
      </c>
      <c r="X108" s="10">
        <v>40423</v>
      </c>
      <c r="Y108" s="10">
        <v>108150</v>
      </c>
      <c r="Z108" s="10">
        <v>17942</v>
      </c>
      <c r="AA108" s="10">
        <v>51152</v>
      </c>
      <c r="AB108" s="10">
        <v>2045.67</v>
      </c>
      <c r="AC108" s="10">
        <v>4148.18</v>
      </c>
      <c r="AD108" s="10">
        <v>4045</v>
      </c>
      <c r="AE108" s="10">
        <v>11065</v>
      </c>
      <c r="AF108" s="10">
        <v>3458.24</v>
      </c>
      <c r="AG108" s="10">
        <v>8057.83</v>
      </c>
      <c r="AH108" s="10">
        <v>2625.94</v>
      </c>
      <c r="AI108" s="10">
        <v>7480.52</v>
      </c>
      <c r="AJ108" s="10">
        <v>8252</v>
      </c>
      <c r="AK108" s="10">
        <v>23045</v>
      </c>
      <c r="AL108" s="10">
        <v>23792.62</v>
      </c>
      <c r="AM108" s="10">
        <v>67023.5</v>
      </c>
      <c r="AN108" s="10">
        <v>154</v>
      </c>
      <c r="AO108" s="10">
        <v>407</v>
      </c>
      <c r="AP108" s="10">
        <v>1193</v>
      </c>
      <c r="AQ108" s="10">
        <v>3592</v>
      </c>
      <c r="AR108" s="10">
        <v>13844</v>
      </c>
      <c r="AS108" s="10">
        <v>38766</v>
      </c>
      <c r="AT108" s="10">
        <v>7727</v>
      </c>
      <c r="AU108" s="10">
        <v>21639</v>
      </c>
      <c r="AV108" s="10">
        <v>18652</v>
      </c>
      <c r="AW108" s="10">
        <v>45383</v>
      </c>
      <c r="AX108" s="10">
        <v>2684</v>
      </c>
      <c r="AY108" s="10">
        <v>7093</v>
      </c>
      <c r="AZ108" s="10">
        <v>38173</v>
      </c>
      <c r="BA108" s="10">
        <v>104766</v>
      </c>
      <c r="BB108" s="10">
        <v>23531</v>
      </c>
      <c r="BC108" s="10">
        <v>65513</v>
      </c>
      <c r="BD108" s="10">
        <v>6181270</v>
      </c>
      <c r="BE108" s="10">
        <v>190725</v>
      </c>
      <c r="BF108" s="10">
        <v>27397</v>
      </c>
      <c r="BG108" s="10">
        <v>73502</v>
      </c>
      <c r="BH108" s="10">
        <v>26785</v>
      </c>
      <c r="BI108" s="10">
        <v>74111</v>
      </c>
      <c r="BJ108" s="10">
        <v>5815</v>
      </c>
      <c r="BK108" s="10">
        <v>17164</v>
      </c>
      <c r="BL108" s="63">
        <f t="shared" si="29"/>
        <v>6551840.3399999999</v>
      </c>
      <c r="BM108" s="63">
        <f t="shared" si="30"/>
        <v>1194329.74</v>
      </c>
    </row>
    <row r="109" spans="1:65" x14ac:dyDescent="0.25">
      <c r="A109" s="24" t="s">
        <v>296</v>
      </c>
      <c r="B109" s="92"/>
      <c r="C109" s="92"/>
      <c r="D109" s="92"/>
      <c r="E109" s="92"/>
      <c r="F109" s="92">
        <v>0</v>
      </c>
      <c r="G109" s="92">
        <v>0</v>
      </c>
      <c r="H109" s="92">
        <v>306</v>
      </c>
      <c r="I109" s="92">
        <v>808</v>
      </c>
      <c r="J109" s="92">
        <v>19</v>
      </c>
      <c r="K109" s="92">
        <v>-371</v>
      </c>
      <c r="L109" s="92">
        <v>21</v>
      </c>
      <c r="M109" s="92">
        <v>46</v>
      </c>
      <c r="N109" s="92"/>
      <c r="O109" s="92"/>
      <c r="P109" s="92">
        <v>54.26</v>
      </c>
      <c r="Q109" s="92">
        <v>114.51</v>
      </c>
      <c r="R109" s="92">
        <v>92.58</v>
      </c>
      <c r="S109" s="92">
        <v>558.16999999999996</v>
      </c>
      <c r="T109" s="92">
        <v>640</v>
      </c>
      <c r="U109" s="92">
        <v>4377</v>
      </c>
      <c r="V109" s="92">
        <v>347</v>
      </c>
      <c r="W109" s="92">
        <v>1801</v>
      </c>
      <c r="X109" s="92">
        <v>1499</v>
      </c>
      <c r="Y109" s="92">
        <v>3427</v>
      </c>
      <c r="Z109" s="92">
        <v>305</v>
      </c>
      <c r="AA109" s="92">
        <v>1184</v>
      </c>
      <c r="AB109" s="92">
        <v>20.58</v>
      </c>
      <c r="AC109" s="92">
        <v>57.73</v>
      </c>
      <c r="AD109" s="92">
        <v>31</v>
      </c>
      <c r="AE109" s="92">
        <v>75</v>
      </c>
      <c r="AF109" s="69">
        <v>124.62</v>
      </c>
      <c r="AG109" s="24">
        <v>444.65</v>
      </c>
      <c r="AH109" s="92"/>
      <c r="AI109" s="92"/>
      <c r="AJ109" s="92"/>
      <c r="AK109" s="92"/>
      <c r="AL109" s="92">
        <v>1782.32</v>
      </c>
      <c r="AM109" s="92">
        <v>3715.08</v>
      </c>
      <c r="AN109" s="92">
        <v>5</v>
      </c>
      <c r="AO109" s="92">
        <v>11</v>
      </c>
      <c r="AP109" s="92">
        <v>45</v>
      </c>
      <c r="AQ109" s="92">
        <v>224</v>
      </c>
      <c r="AR109" s="76">
        <v>266</v>
      </c>
      <c r="AS109" s="76">
        <v>490</v>
      </c>
      <c r="AT109" s="92">
        <v>153</v>
      </c>
      <c r="AU109" s="92">
        <v>826</v>
      </c>
      <c r="AV109" s="92">
        <v>-69</v>
      </c>
      <c r="AW109" s="92">
        <v>282</v>
      </c>
      <c r="AX109" s="92">
        <v>50</v>
      </c>
      <c r="AY109" s="92">
        <v>110</v>
      </c>
      <c r="AZ109" s="92"/>
      <c r="BA109" s="92"/>
      <c r="BB109" s="92">
        <v>1162</v>
      </c>
      <c r="BC109" s="92">
        <v>2587</v>
      </c>
      <c r="BD109" s="92">
        <v>581843</v>
      </c>
      <c r="BE109" s="92">
        <v>17545</v>
      </c>
      <c r="BF109" s="92">
        <v>2035</v>
      </c>
      <c r="BG109" s="92">
        <v>4985</v>
      </c>
      <c r="BH109" s="92">
        <v>1251</v>
      </c>
      <c r="BI109" s="92">
        <v>3012</v>
      </c>
      <c r="BJ109" s="92">
        <v>24</v>
      </c>
      <c r="BK109" s="92">
        <v>54</v>
      </c>
      <c r="BL109" s="68">
        <f t="shared" si="29"/>
        <v>592007.36</v>
      </c>
      <c r="BM109" s="68">
        <f t="shared" si="30"/>
        <v>46363.14</v>
      </c>
    </row>
    <row r="110" spans="1:65" x14ac:dyDescent="0.25">
      <c r="A110" s="24" t="s">
        <v>297</v>
      </c>
      <c r="B110" s="92">
        <v>1470</v>
      </c>
      <c r="C110" s="92">
        <v>3402</v>
      </c>
      <c r="D110" s="92">
        <v>4883</v>
      </c>
      <c r="E110" s="92">
        <v>12330</v>
      </c>
      <c r="F110" s="92">
        <v>2754</v>
      </c>
      <c r="G110" s="92">
        <v>18534</v>
      </c>
      <c r="H110" s="92">
        <v>-19593</v>
      </c>
      <c r="I110" s="92">
        <v>-73048</v>
      </c>
      <c r="J110" s="92">
        <v>8758</v>
      </c>
      <c r="K110" s="92">
        <v>26821</v>
      </c>
      <c r="L110" s="92">
        <v>12722</v>
      </c>
      <c r="M110" s="92">
        <v>27914</v>
      </c>
      <c r="N110" s="92">
        <v>819.47</v>
      </c>
      <c r="O110" s="92">
        <v>2125.83</v>
      </c>
      <c r="P110" s="92">
        <v>1104.1099999999999</v>
      </c>
      <c r="Q110" s="92">
        <v>1735.68</v>
      </c>
      <c r="R110" s="92">
        <v>8004.22</v>
      </c>
      <c r="S110" s="92">
        <v>18591.34</v>
      </c>
      <c r="T110" s="92">
        <v>-3888</v>
      </c>
      <c r="U110" s="92">
        <v>-11816</v>
      </c>
      <c r="V110" s="92">
        <v>-34167</v>
      </c>
      <c r="W110" s="92">
        <v>-104443</v>
      </c>
      <c r="X110" s="92">
        <v>21652</v>
      </c>
      <c r="Y110" s="92">
        <v>64197</v>
      </c>
      <c r="Z110" s="92">
        <v>8146</v>
      </c>
      <c r="AA110" s="92">
        <v>26093</v>
      </c>
      <c r="AB110" s="92">
        <v>1187.93</v>
      </c>
      <c r="AC110" s="92">
        <v>2609.73</v>
      </c>
      <c r="AD110" s="92">
        <v>526</v>
      </c>
      <c r="AE110" s="92">
        <v>2070</v>
      </c>
      <c r="AF110" s="69">
        <v>-3999.68</v>
      </c>
      <c r="AG110" s="24">
        <v>-10233.57</v>
      </c>
      <c r="AH110" s="92">
        <v>151.21</v>
      </c>
      <c r="AI110" s="92">
        <v>594.66999999999996</v>
      </c>
      <c r="AJ110" s="92">
        <v>5804</v>
      </c>
      <c r="AK110" s="92">
        <v>18080</v>
      </c>
      <c r="AL110" s="92">
        <v>3048.78</v>
      </c>
      <c r="AM110" s="92">
        <v>9061.26</v>
      </c>
      <c r="AN110" s="92">
        <v>-27</v>
      </c>
      <c r="AO110" s="92">
        <v>-92</v>
      </c>
      <c r="AP110" s="92">
        <v>117</v>
      </c>
      <c r="AQ110" s="92">
        <v>579</v>
      </c>
      <c r="AR110" s="76">
        <v>14174</v>
      </c>
      <c r="AS110" s="76">
        <v>41741</v>
      </c>
      <c r="AT110" s="92">
        <v>2787</v>
      </c>
      <c r="AU110" s="92">
        <v>11591</v>
      </c>
      <c r="AV110" s="92">
        <v>21519</v>
      </c>
      <c r="AW110" s="92">
        <v>56920</v>
      </c>
      <c r="AX110" s="92">
        <v>351</v>
      </c>
      <c r="AY110" s="92">
        <v>840</v>
      </c>
      <c r="AZ110" s="92">
        <v>2297</v>
      </c>
      <c r="BA110" s="92">
        <v>6271</v>
      </c>
      <c r="BB110" s="92">
        <v>22540</v>
      </c>
      <c r="BC110" s="92">
        <v>53887</v>
      </c>
      <c r="BD110" s="92">
        <v>1462951</v>
      </c>
      <c r="BE110" s="92">
        <v>46263</v>
      </c>
      <c r="BF110" s="92">
        <v>3589</v>
      </c>
      <c r="BG110" s="92">
        <v>11971</v>
      </c>
      <c r="BH110" s="92">
        <v>2828</v>
      </c>
      <c r="BI110" s="92">
        <v>11425</v>
      </c>
      <c r="BJ110" s="92">
        <v>2140</v>
      </c>
      <c r="BK110" s="92">
        <v>12025</v>
      </c>
      <c r="BL110" s="68">
        <f t="shared" si="29"/>
        <v>1554649.04</v>
      </c>
      <c r="BM110" s="68">
        <f t="shared" si="30"/>
        <v>288039.94</v>
      </c>
    </row>
    <row r="111" spans="1:65" s="7" customFormat="1" x14ac:dyDescent="0.25">
      <c r="A111" s="10" t="s">
        <v>190</v>
      </c>
      <c r="B111" s="10">
        <v>-926</v>
      </c>
      <c r="C111" s="10">
        <v>-1834</v>
      </c>
      <c r="D111" s="10">
        <v>34</v>
      </c>
      <c r="E111" s="10">
        <v>1983</v>
      </c>
      <c r="F111" s="10">
        <v>-378</v>
      </c>
      <c r="G111" s="10">
        <v>-14737</v>
      </c>
      <c r="H111" s="10">
        <v>3468</v>
      </c>
      <c r="I111" s="10">
        <v>-10424</v>
      </c>
      <c r="J111" s="10">
        <v>4072</v>
      </c>
      <c r="K111" s="10">
        <v>6574</v>
      </c>
      <c r="L111" s="10">
        <v>1848</v>
      </c>
      <c r="M111" s="10">
        <v>8456</v>
      </c>
      <c r="N111" s="10">
        <v>-506.83</v>
      </c>
      <c r="O111" s="10">
        <v>-1489.03</v>
      </c>
      <c r="P111" s="10">
        <v>-200.73</v>
      </c>
      <c r="Q111" s="10">
        <v>438.75</v>
      </c>
      <c r="R111" s="10">
        <v>-1475.53</v>
      </c>
      <c r="S111" s="10">
        <v>637.82000000000005</v>
      </c>
      <c r="T111" s="10">
        <v>4593</v>
      </c>
      <c r="U111" s="10">
        <v>11283</v>
      </c>
      <c r="V111" s="10">
        <v>-5179</v>
      </c>
      <c r="W111" s="10">
        <v>-22768</v>
      </c>
      <c r="X111" s="10">
        <v>20270</v>
      </c>
      <c r="Y111" s="10">
        <v>47380</v>
      </c>
      <c r="Z111" s="10">
        <v>10101</v>
      </c>
      <c r="AA111" s="10">
        <v>26243</v>
      </c>
      <c r="AB111" s="10">
        <v>878.32</v>
      </c>
      <c r="AC111" s="10">
        <v>1596.18</v>
      </c>
      <c r="AD111" s="10">
        <v>3551</v>
      </c>
      <c r="AE111" s="10">
        <v>9070</v>
      </c>
      <c r="AF111" s="10">
        <v>-416.82</v>
      </c>
      <c r="AG111" s="10">
        <v>-1731.09</v>
      </c>
      <c r="AH111" s="10">
        <v>2474.73</v>
      </c>
      <c r="AI111" s="10">
        <v>6885.85</v>
      </c>
      <c r="AJ111" s="10">
        <v>2448</v>
      </c>
      <c r="AK111" s="10">
        <v>4966</v>
      </c>
      <c r="AL111" s="10">
        <v>22526.16</v>
      </c>
      <c r="AM111" s="10">
        <v>61677.31</v>
      </c>
      <c r="AN111" s="10">
        <v>133</v>
      </c>
      <c r="AO111" s="10">
        <v>325</v>
      </c>
      <c r="AP111" s="10">
        <v>1120</v>
      </c>
      <c r="AQ111" s="10">
        <v>3237</v>
      </c>
      <c r="AR111" s="10">
        <v>-63</v>
      </c>
      <c r="AS111" s="10">
        <v>-2485</v>
      </c>
      <c r="AT111" s="10">
        <v>5093</v>
      </c>
      <c r="AU111" s="10">
        <v>10874</v>
      </c>
      <c r="AV111" s="10">
        <v>-2936</v>
      </c>
      <c r="AW111" s="10">
        <v>-11255</v>
      </c>
      <c r="AX111" s="10">
        <v>2382</v>
      </c>
      <c r="AY111" s="10">
        <v>6363</v>
      </c>
      <c r="AZ111" s="10">
        <v>35876</v>
      </c>
      <c r="BA111" s="10">
        <v>98494</v>
      </c>
      <c r="BB111" s="10">
        <v>2153</v>
      </c>
      <c r="BC111" s="10">
        <v>14213</v>
      </c>
      <c r="BD111" s="10">
        <v>5300162</v>
      </c>
      <c r="BE111" s="10">
        <v>162007</v>
      </c>
      <c r="BF111" s="10">
        <v>24916</v>
      </c>
      <c r="BG111" s="10">
        <v>66516</v>
      </c>
      <c r="BH111" s="10">
        <v>25208</v>
      </c>
      <c r="BI111" s="10">
        <v>65698</v>
      </c>
      <c r="BJ111" s="10">
        <v>3699</v>
      </c>
      <c r="BK111" s="10">
        <v>5194</v>
      </c>
      <c r="BL111" s="63">
        <f t="shared" si="29"/>
        <v>5464924.2999999998</v>
      </c>
      <c r="BM111" s="63">
        <f t="shared" si="30"/>
        <v>553388.79</v>
      </c>
    </row>
  </sheetData>
  <mergeCells count="320"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1" customWidth="1"/>
    <col min="2" max="31" width="16" style="71" customWidth="1"/>
    <col min="32" max="32" width="16" style="7" customWidth="1"/>
    <col min="33" max="65" width="16" style="71" customWidth="1"/>
    <col min="66" max="16384" width="9.140625" style="71"/>
  </cols>
  <sheetData>
    <row r="1" spans="1:65" ht="18.75" x14ac:dyDescent="0.3">
      <c r="A1" s="4" t="s">
        <v>169</v>
      </c>
    </row>
    <row r="2" spans="1:65" x14ac:dyDescent="0.25">
      <c r="A2" s="5" t="s">
        <v>98</v>
      </c>
    </row>
    <row r="3" spans="1:65" x14ac:dyDescent="0.25">
      <c r="A3" s="1" t="s">
        <v>0</v>
      </c>
      <c r="B3" s="153" t="s">
        <v>1</v>
      </c>
      <c r="C3" s="154"/>
      <c r="D3" s="153" t="s">
        <v>234</v>
      </c>
      <c r="E3" s="154"/>
      <c r="F3" s="153" t="s">
        <v>2</v>
      </c>
      <c r="G3" s="154"/>
      <c r="H3" s="153" t="s">
        <v>3</v>
      </c>
      <c r="I3" s="154"/>
      <c r="J3" s="153" t="s">
        <v>243</v>
      </c>
      <c r="K3" s="154"/>
      <c r="L3" s="153" t="s">
        <v>235</v>
      </c>
      <c r="M3" s="154"/>
      <c r="N3" s="153" t="s">
        <v>5</v>
      </c>
      <c r="O3" s="154"/>
      <c r="P3" s="153" t="s">
        <v>4</v>
      </c>
      <c r="Q3" s="154"/>
      <c r="R3" s="153" t="s">
        <v>6</v>
      </c>
      <c r="S3" s="154"/>
      <c r="T3" s="153" t="s">
        <v>246</v>
      </c>
      <c r="U3" s="154"/>
      <c r="V3" s="153" t="s">
        <v>7</v>
      </c>
      <c r="W3" s="154"/>
      <c r="X3" s="153" t="s">
        <v>8</v>
      </c>
      <c r="Y3" s="154"/>
      <c r="Z3" s="153" t="s">
        <v>9</v>
      </c>
      <c r="AA3" s="154"/>
      <c r="AB3" s="153" t="s">
        <v>242</v>
      </c>
      <c r="AC3" s="154"/>
      <c r="AD3" s="153" t="s">
        <v>10</v>
      </c>
      <c r="AE3" s="154"/>
      <c r="AF3" s="153" t="s">
        <v>11</v>
      </c>
      <c r="AG3" s="154"/>
      <c r="AH3" s="153" t="s">
        <v>236</v>
      </c>
      <c r="AI3" s="154"/>
      <c r="AJ3" s="153" t="s">
        <v>245</v>
      </c>
      <c r="AK3" s="154"/>
      <c r="AL3" s="153" t="s">
        <v>12</v>
      </c>
      <c r="AM3" s="154"/>
      <c r="AN3" s="153" t="s">
        <v>237</v>
      </c>
      <c r="AO3" s="154"/>
      <c r="AP3" s="153" t="s">
        <v>238</v>
      </c>
      <c r="AQ3" s="154"/>
      <c r="AR3" s="153" t="s">
        <v>241</v>
      </c>
      <c r="AS3" s="154"/>
      <c r="AT3" s="153" t="s">
        <v>13</v>
      </c>
      <c r="AU3" s="154"/>
      <c r="AV3" s="153" t="s">
        <v>14</v>
      </c>
      <c r="AW3" s="154"/>
      <c r="AX3" s="153" t="s">
        <v>15</v>
      </c>
      <c r="AY3" s="154"/>
      <c r="AZ3" s="153" t="s">
        <v>16</v>
      </c>
      <c r="BA3" s="154"/>
      <c r="BB3" s="153" t="s">
        <v>17</v>
      </c>
      <c r="BC3" s="154"/>
      <c r="BD3" s="153" t="s">
        <v>239</v>
      </c>
      <c r="BE3" s="154"/>
      <c r="BF3" s="153" t="s">
        <v>240</v>
      </c>
      <c r="BG3" s="154"/>
      <c r="BH3" s="153" t="s">
        <v>18</v>
      </c>
      <c r="BI3" s="154"/>
      <c r="BJ3" s="153" t="s">
        <v>19</v>
      </c>
      <c r="BK3" s="154"/>
      <c r="BL3" s="157" t="s">
        <v>20</v>
      </c>
      <c r="BM3" s="157"/>
    </row>
    <row r="4" spans="1:65" ht="30" x14ac:dyDescent="0.25">
      <c r="A4" s="1"/>
      <c r="B4" s="53" t="s">
        <v>303</v>
      </c>
      <c r="C4" s="54" t="s">
        <v>302</v>
      </c>
      <c r="D4" s="53" t="s">
        <v>303</v>
      </c>
      <c r="E4" s="54" t="s">
        <v>302</v>
      </c>
      <c r="F4" s="53" t="s">
        <v>303</v>
      </c>
      <c r="G4" s="54" t="s">
        <v>302</v>
      </c>
      <c r="H4" s="53" t="s">
        <v>303</v>
      </c>
      <c r="I4" s="54" t="s">
        <v>302</v>
      </c>
      <c r="J4" s="53" t="s">
        <v>303</v>
      </c>
      <c r="K4" s="54" t="s">
        <v>302</v>
      </c>
      <c r="L4" s="53" t="s">
        <v>303</v>
      </c>
      <c r="M4" s="54" t="s">
        <v>302</v>
      </c>
      <c r="N4" s="53" t="s">
        <v>303</v>
      </c>
      <c r="O4" s="54" t="s">
        <v>302</v>
      </c>
      <c r="P4" s="53" t="s">
        <v>303</v>
      </c>
      <c r="Q4" s="54" t="s">
        <v>302</v>
      </c>
      <c r="R4" s="53" t="s">
        <v>303</v>
      </c>
      <c r="S4" s="54" t="s">
        <v>302</v>
      </c>
      <c r="T4" s="53" t="s">
        <v>303</v>
      </c>
      <c r="U4" s="54" t="s">
        <v>302</v>
      </c>
      <c r="V4" s="53" t="s">
        <v>303</v>
      </c>
      <c r="W4" s="54" t="s">
        <v>302</v>
      </c>
      <c r="X4" s="53" t="s">
        <v>303</v>
      </c>
      <c r="Y4" s="54" t="s">
        <v>302</v>
      </c>
      <c r="Z4" s="53" t="s">
        <v>303</v>
      </c>
      <c r="AA4" s="54" t="s">
        <v>302</v>
      </c>
      <c r="AB4" s="53" t="s">
        <v>303</v>
      </c>
      <c r="AC4" s="54" t="s">
        <v>302</v>
      </c>
      <c r="AD4" s="53" t="s">
        <v>303</v>
      </c>
      <c r="AE4" s="54" t="s">
        <v>302</v>
      </c>
      <c r="AF4" s="53" t="s">
        <v>303</v>
      </c>
      <c r="AG4" s="54" t="s">
        <v>302</v>
      </c>
      <c r="AH4" s="53" t="s">
        <v>303</v>
      </c>
      <c r="AI4" s="54" t="s">
        <v>302</v>
      </c>
      <c r="AJ4" s="53" t="s">
        <v>303</v>
      </c>
      <c r="AK4" s="54" t="s">
        <v>302</v>
      </c>
      <c r="AL4" s="53" t="s">
        <v>303</v>
      </c>
      <c r="AM4" s="54" t="s">
        <v>302</v>
      </c>
      <c r="AN4" s="53" t="s">
        <v>303</v>
      </c>
      <c r="AO4" s="54" t="s">
        <v>302</v>
      </c>
      <c r="AP4" s="53" t="s">
        <v>303</v>
      </c>
      <c r="AQ4" s="54" t="s">
        <v>302</v>
      </c>
      <c r="AR4" s="53" t="s">
        <v>303</v>
      </c>
      <c r="AS4" s="54" t="s">
        <v>302</v>
      </c>
      <c r="AT4" s="53" t="s">
        <v>303</v>
      </c>
      <c r="AU4" s="54" t="s">
        <v>302</v>
      </c>
      <c r="AV4" s="53" t="s">
        <v>303</v>
      </c>
      <c r="AW4" s="54" t="s">
        <v>302</v>
      </c>
      <c r="AX4" s="53" t="s">
        <v>303</v>
      </c>
      <c r="AY4" s="54" t="s">
        <v>302</v>
      </c>
      <c r="AZ4" s="53" t="s">
        <v>303</v>
      </c>
      <c r="BA4" s="54" t="s">
        <v>302</v>
      </c>
      <c r="BB4" s="53" t="s">
        <v>303</v>
      </c>
      <c r="BC4" s="54" t="s">
        <v>302</v>
      </c>
      <c r="BD4" s="53" t="s">
        <v>303</v>
      </c>
      <c r="BE4" s="54" t="s">
        <v>302</v>
      </c>
      <c r="BF4" s="53" t="s">
        <v>303</v>
      </c>
      <c r="BG4" s="54" t="s">
        <v>302</v>
      </c>
      <c r="BH4" s="53" t="s">
        <v>303</v>
      </c>
      <c r="BI4" s="54" t="s">
        <v>302</v>
      </c>
      <c r="BJ4" s="53" t="s">
        <v>303</v>
      </c>
      <c r="BK4" s="54" t="s">
        <v>302</v>
      </c>
      <c r="BL4" s="105" t="s">
        <v>303</v>
      </c>
      <c r="BM4" s="106" t="s">
        <v>302</v>
      </c>
    </row>
    <row r="5" spans="1:65" x14ac:dyDescent="0.25">
      <c r="A5" s="20" t="s">
        <v>170</v>
      </c>
      <c r="B5" s="92">
        <v>4127</v>
      </c>
      <c r="C5" s="92">
        <v>8048</v>
      </c>
      <c r="D5" s="92">
        <v>9385</v>
      </c>
      <c r="E5" s="92">
        <v>25972</v>
      </c>
      <c r="F5" s="92">
        <v>2078</v>
      </c>
      <c r="G5" s="92">
        <v>7967</v>
      </c>
      <c r="H5" s="92">
        <v>15647</v>
      </c>
      <c r="I5" s="92">
        <v>55633</v>
      </c>
      <c r="J5" s="92">
        <v>14932</v>
      </c>
      <c r="K5" s="92">
        <v>41829</v>
      </c>
      <c r="L5" s="92">
        <v>4245</v>
      </c>
      <c r="M5" s="92">
        <v>12320</v>
      </c>
      <c r="N5" s="92">
        <v>5274.43</v>
      </c>
      <c r="O5" s="92">
        <v>12341.67</v>
      </c>
      <c r="P5" s="92">
        <v>1546.74</v>
      </c>
      <c r="Q5" s="92">
        <v>4670.82</v>
      </c>
      <c r="R5" s="92">
        <v>10594.67</v>
      </c>
      <c r="S5" s="92">
        <v>23370.5</v>
      </c>
      <c r="T5" s="92">
        <v>5169</v>
      </c>
      <c r="U5" s="92">
        <v>13652</v>
      </c>
      <c r="V5" s="92">
        <v>17028</v>
      </c>
      <c r="W5" s="92">
        <v>48487</v>
      </c>
      <c r="X5" s="92">
        <v>23944</v>
      </c>
      <c r="Y5" s="92">
        <v>73958</v>
      </c>
      <c r="Z5" s="92">
        <v>10373</v>
      </c>
      <c r="AA5" s="92">
        <v>30794</v>
      </c>
      <c r="AB5" s="92">
        <v>2477.0700000000002</v>
      </c>
      <c r="AC5" s="92">
        <v>6858.16</v>
      </c>
      <c r="AD5" s="92">
        <v>4677</v>
      </c>
      <c r="AE5" s="92">
        <v>11913</v>
      </c>
      <c r="AF5" s="69">
        <v>3563.88</v>
      </c>
      <c r="AG5" s="92">
        <v>9918.74</v>
      </c>
      <c r="AH5" s="92">
        <v>4446.12</v>
      </c>
      <c r="AI5" s="92">
        <v>12486.67</v>
      </c>
      <c r="AJ5" s="92">
        <v>10724</v>
      </c>
      <c r="AK5" s="92">
        <v>30820</v>
      </c>
      <c r="AL5" s="92">
        <v>32947.47</v>
      </c>
      <c r="AM5" s="92">
        <v>143895.21</v>
      </c>
      <c r="AN5" s="92">
        <v>564</v>
      </c>
      <c r="AO5" s="92">
        <v>2195</v>
      </c>
      <c r="AP5" s="92">
        <v>1429</v>
      </c>
      <c r="AQ5" s="92">
        <v>3935</v>
      </c>
      <c r="AR5" s="76">
        <v>11786</v>
      </c>
      <c r="AS5" s="76">
        <v>34796</v>
      </c>
      <c r="AT5" s="92">
        <v>5216</v>
      </c>
      <c r="AU5" s="92">
        <v>15318</v>
      </c>
      <c r="AV5" s="92">
        <v>9835</v>
      </c>
      <c r="AW5" s="92">
        <v>30129</v>
      </c>
      <c r="AX5" s="92">
        <v>2589</v>
      </c>
      <c r="AY5" s="92">
        <v>7632</v>
      </c>
      <c r="AZ5" s="92">
        <v>29897</v>
      </c>
      <c r="BA5" s="92">
        <v>90895</v>
      </c>
      <c r="BB5" s="92">
        <v>13394</v>
      </c>
      <c r="BC5" s="92">
        <v>43665</v>
      </c>
      <c r="BD5" s="92">
        <v>70709</v>
      </c>
      <c r="BE5" s="92">
        <v>211257</v>
      </c>
      <c r="BF5" s="92">
        <v>62510</v>
      </c>
      <c r="BG5" s="92">
        <v>184147</v>
      </c>
      <c r="BH5" s="92">
        <v>72944</v>
      </c>
      <c r="BI5" s="92">
        <v>222622</v>
      </c>
      <c r="BJ5" s="92">
        <v>3059</v>
      </c>
      <c r="BK5" s="92">
        <v>8840</v>
      </c>
      <c r="BL5" s="68">
        <f>SUM(B5+D5+F5+H5+J5+L5+N5+P5+R5+T5+V5+X5+Z5+AB5+AD5+AF5+AH5+AJ5+AL5+AN5+AP5+AR5+AT5+AV5+AX5+AZ5+BB5+BD5+BF5+BH5+BJ5)</f>
        <v>467111.38</v>
      </c>
      <c r="BM5" s="68">
        <f>SUM(C5+E5+G5+I5+K5+M5+O5+Q5+S5+U5+W5+Y5+AA5+AC5+AE5+AG5+AI5+AK5+AM5+AO5+AQ5+AS5+AU5+AW5+AY5+BA5+BC5+BE5+BG5+BI5+BK5)</f>
        <v>1430365.77</v>
      </c>
    </row>
    <row r="6" spans="1:65" x14ac:dyDescent="0.25">
      <c r="A6" s="20" t="s">
        <v>171</v>
      </c>
      <c r="B6" s="92">
        <v>29</v>
      </c>
      <c r="C6" s="92">
        <v>42</v>
      </c>
      <c r="D6" s="92">
        <v>273</v>
      </c>
      <c r="E6" s="92">
        <v>541</v>
      </c>
      <c r="F6" s="92">
        <v>71</v>
      </c>
      <c r="G6" s="92">
        <v>146</v>
      </c>
      <c r="H6" s="92">
        <v>825</v>
      </c>
      <c r="I6" s="92">
        <v>1699</v>
      </c>
      <c r="J6" s="92">
        <v>10</v>
      </c>
      <c r="K6" s="92">
        <v>466</v>
      </c>
      <c r="L6" s="92">
        <v>274</v>
      </c>
      <c r="M6" s="92">
        <v>591</v>
      </c>
      <c r="N6" s="92">
        <v>223.29</v>
      </c>
      <c r="O6" s="92">
        <v>485.42</v>
      </c>
      <c r="P6" s="92">
        <v>39.92</v>
      </c>
      <c r="Q6" s="92">
        <v>63.01</v>
      </c>
      <c r="R6" s="92">
        <v>188.61</v>
      </c>
      <c r="S6" s="92">
        <v>318.32</v>
      </c>
      <c r="T6" s="92">
        <v>218</v>
      </c>
      <c r="U6" s="92">
        <v>393</v>
      </c>
      <c r="V6" s="92">
        <v>829</v>
      </c>
      <c r="W6" s="92">
        <v>1774</v>
      </c>
      <c r="X6" s="92">
        <v>1032</v>
      </c>
      <c r="Y6" s="92">
        <v>2566</v>
      </c>
      <c r="Z6" s="92">
        <v>380</v>
      </c>
      <c r="AA6" s="92">
        <v>963</v>
      </c>
      <c r="AB6" s="92">
        <v>87.84</v>
      </c>
      <c r="AC6" s="92">
        <v>180.32</v>
      </c>
      <c r="AD6" s="92">
        <v>278</v>
      </c>
      <c r="AE6" s="92">
        <v>543</v>
      </c>
      <c r="AF6" s="69">
        <v>88.07</v>
      </c>
      <c r="AG6" s="92">
        <v>177.1</v>
      </c>
      <c r="AH6" s="92">
        <v>45.05</v>
      </c>
      <c r="AI6" s="92">
        <v>88.46</v>
      </c>
      <c r="AJ6" s="92">
        <v>321</v>
      </c>
      <c r="AK6" s="92">
        <v>796</v>
      </c>
      <c r="AL6" s="92">
        <v>595.85</v>
      </c>
      <c r="AM6" s="92">
        <v>1449.2</v>
      </c>
      <c r="AN6" s="92">
        <v>7</v>
      </c>
      <c r="AO6" s="92">
        <v>12</v>
      </c>
      <c r="AP6" s="92">
        <v>24</v>
      </c>
      <c r="AQ6" s="92">
        <v>40</v>
      </c>
      <c r="AR6" s="76">
        <v>694</v>
      </c>
      <c r="AS6" s="76">
        <v>2255</v>
      </c>
      <c r="AT6" s="92">
        <v>139</v>
      </c>
      <c r="AU6" s="92">
        <v>272</v>
      </c>
      <c r="AV6" s="92">
        <v>840</v>
      </c>
      <c r="AW6" s="92">
        <v>1738</v>
      </c>
      <c r="AX6" s="92">
        <v>325</v>
      </c>
      <c r="AY6" s="92">
        <v>725</v>
      </c>
      <c r="AZ6" s="92">
        <v>759</v>
      </c>
      <c r="BA6" s="92">
        <v>2387</v>
      </c>
      <c r="BB6" s="92">
        <v>514</v>
      </c>
      <c r="BC6" s="92">
        <v>948</v>
      </c>
      <c r="BD6" s="92">
        <v>1124</v>
      </c>
      <c r="BE6" s="92">
        <v>2596</v>
      </c>
      <c r="BF6" s="92">
        <v>537</v>
      </c>
      <c r="BG6" s="92">
        <v>1414</v>
      </c>
      <c r="BH6" s="92">
        <v>665</v>
      </c>
      <c r="BI6" s="92">
        <v>1591</v>
      </c>
      <c r="BJ6" s="92">
        <v>268</v>
      </c>
      <c r="BK6" s="92">
        <v>466</v>
      </c>
      <c r="BL6" s="68">
        <f t="shared" ref="BL6:BL17" si="0">SUM(B6+D6+F6+H6+J6+L6+N6+P6+R6+T6+V6+X6+Z6+AB6+AD6+AF6+AH6+AJ6+AL6+AN6+AP6+AR6+AT6+AV6+AX6+AZ6+BB6+BD6+BF6+BH6+BJ6)</f>
        <v>11704.630000000001</v>
      </c>
      <c r="BM6" s="68">
        <f t="shared" ref="BM6:BM17" si="1">SUM(C6+E6+G6+I6+K6+M6+O6+Q6+S6+U6+W6+Y6+AA6+AC6+AE6+AG6+AI6+AK6+AM6+AO6+AQ6+AS6+AU6+AW6+AY6+BA6+BC6+BE6+BG6+BI6+BK6)</f>
        <v>27725.83</v>
      </c>
    </row>
    <row r="7" spans="1:65" x14ac:dyDescent="0.25">
      <c r="A7" s="20" t="s">
        <v>172</v>
      </c>
      <c r="B7" s="92">
        <v>3</v>
      </c>
      <c r="C7" s="92">
        <v>4</v>
      </c>
      <c r="D7" s="92">
        <v>36</v>
      </c>
      <c r="E7" s="92">
        <v>114</v>
      </c>
      <c r="F7" s="92">
        <v>2</v>
      </c>
      <c r="G7" s="92">
        <v>6</v>
      </c>
      <c r="H7" s="92">
        <v>11</v>
      </c>
      <c r="I7" s="92">
        <v>31</v>
      </c>
      <c r="J7" s="92">
        <v>348</v>
      </c>
      <c r="K7" s="92">
        <v>695</v>
      </c>
      <c r="L7" s="92">
        <v>19</v>
      </c>
      <c r="M7" s="92">
        <v>53</v>
      </c>
      <c r="N7" s="92">
        <v>8.81</v>
      </c>
      <c r="O7" s="92">
        <v>19.86</v>
      </c>
      <c r="P7" s="92">
        <v>9.31</v>
      </c>
      <c r="Q7" s="92">
        <v>28.64</v>
      </c>
      <c r="R7" s="92">
        <v>152.09</v>
      </c>
      <c r="S7" s="92">
        <v>632.35</v>
      </c>
      <c r="T7" s="92">
        <v>67</v>
      </c>
      <c r="U7" s="92">
        <v>152</v>
      </c>
      <c r="V7" s="92">
        <v>254</v>
      </c>
      <c r="W7" s="92">
        <v>905</v>
      </c>
      <c r="X7" s="92">
        <v>87</v>
      </c>
      <c r="Y7" s="92">
        <v>220</v>
      </c>
      <c r="Z7" s="92">
        <v>16</v>
      </c>
      <c r="AA7" s="92">
        <v>60</v>
      </c>
      <c r="AB7" s="92">
        <v>5.47</v>
      </c>
      <c r="AC7" s="92">
        <v>12.3</v>
      </c>
      <c r="AD7" s="92">
        <v>133</v>
      </c>
      <c r="AE7" s="92">
        <v>340</v>
      </c>
      <c r="AF7" s="69">
        <v>2.84</v>
      </c>
      <c r="AG7" s="92">
        <v>8.7200000000000006</v>
      </c>
      <c r="AH7" s="92">
        <v>386.89</v>
      </c>
      <c r="AI7" s="92">
        <v>462.27</v>
      </c>
      <c r="AJ7" s="92">
        <v>8</v>
      </c>
      <c r="AK7" s="92">
        <v>55</v>
      </c>
      <c r="AL7" s="92">
        <v>38.89</v>
      </c>
      <c r="AM7" s="92">
        <v>87.5</v>
      </c>
      <c r="AN7" s="92">
        <v>40</v>
      </c>
      <c r="AO7" s="92">
        <v>295</v>
      </c>
      <c r="AP7" s="92">
        <v>155</v>
      </c>
      <c r="AQ7" s="92">
        <v>391</v>
      </c>
      <c r="AR7" s="76">
        <v>544</v>
      </c>
      <c r="AS7" s="76">
        <v>1161</v>
      </c>
      <c r="AT7" s="92">
        <v>11</v>
      </c>
      <c r="AU7" s="92">
        <v>19</v>
      </c>
      <c r="AV7" s="92">
        <v>98</v>
      </c>
      <c r="AW7" s="92">
        <v>154</v>
      </c>
      <c r="AX7" s="92">
        <v>15</v>
      </c>
      <c r="AY7" s="92">
        <v>47</v>
      </c>
      <c r="AZ7" s="92">
        <v>144</v>
      </c>
      <c r="BA7" s="92">
        <v>347</v>
      </c>
      <c r="BB7" s="92">
        <v>335</v>
      </c>
      <c r="BC7" s="92">
        <v>615</v>
      </c>
      <c r="BD7" s="92">
        <v>147</v>
      </c>
      <c r="BE7" s="92">
        <v>385</v>
      </c>
      <c r="BF7" s="92">
        <v>42</v>
      </c>
      <c r="BG7" s="92">
        <v>123</v>
      </c>
      <c r="BH7" s="92">
        <v>-2</v>
      </c>
      <c r="BI7" s="92">
        <v>35</v>
      </c>
      <c r="BJ7" s="92">
        <v>1</v>
      </c>
      <c r="BK7" s="92">
        <v>5</v>
      </c>
      <c r="BL7" s="68">
        <f t="shared" si="0"/>
        <v>3118.3</v>
      </c>
      <c r="BM7" s="68">
        <f t="shared" si="1"/>
        <v>7463.6399999999994</v>
      </c>
    </row>
    <row r="8" spans="1:65" x14ac:dyDescent="0.25">
      <c r="A8" s="20" t="s">
        <v>173</v>
      </c>
      <c r="B8" s="92">
        <v>76</v>
      </c>
      <c r="C8" s="92">
        <v>219</v>
      </c>
      <c r="D8" s="92">
        <v>255</v>
      </c>
      <c r="E8" s="92">
        <v>699</v>
      </c>
      <c r="F8" s="92">
        <v>201</v>
      </c>
      <c r="G8" s="92">
        <v>569</v>
      </c>
      <c r="H8" s="92">
        <v>722</v>
      </c>
      <c r="I8" s="92">
        <v>2219</v>
      </c>
      <c r="J8" s="92">
        <v>534</v>
      </c>
      <c r="K8" s="92">
        <v>1250</v>
      </c>
      <c r="L8" s="92">
        <v>357</v>
      </c>
      <c r="M8" s="92">
        <v>992</v>
      </c>
      <c r="N8" s="92">
        <v>766.67</v>
      </c>
      <c r="O8" s="92">
        <v>2044.91</v>
      </c>
      <c r="P8" s="92">
        <v>112.69</v>
      </c>
      <c r="Q8" s="92">
        <v>344.6</v>
      </c>
      <c r="R8" s="92">
        <v>460.51</v>
      </c>
      <c r="S8" s="92">
        <v>1423.83</v>
      </c>
      <c r="T8" s="92">
        <v>557</v>
      </c>
      <c r="U8" s="92">
        <v>993</v>
      </c>
      <c r="V8" s="92">
        <v>902</v>
      </c>
      <c r="W8" s="92">
        <v>3027</v>
      </c>
      <c r="X8" s="92">
        <v>2430</v>
      </c>
      <c r="Y8" s="92">
        <v>6885</v>
      </c>
      <c r="Z8" s="92">
        <v>1245</v>
      </c>
      <c r="AA8" s="92">
        <v>3577</v>
      </c>
      <c r="AB8" s="92">
        <v>236.72</v>
      </c>
      <c r="AC8" s="92">
        <v>678.15</v>
      </c>
      <c r="AD8" s="92">
        <v>439</v>
      </c>
      <c r="AE8" s="92">
        <v>1303</v>
      </c>
      <c r="AF8" s="69">
        <v>141.87</v>
      </c>
      <c r="AG8" s="92">
        <v>402.84</v>
      </c>
      <c r="AH8" s="92">
        <v>210.56</v>
      </c>
      <c r="AI8" s="92">
        <v>650.21</v>
      </c>
      <c r="AJ8" s="92">
        <v>453</v>
      </c>
      <c r="AK8" s="92">
        <v>1065</v>
      </c>
      <c r="AL8" s="92">
        <v>2405.0700000000002</v>
      </c>
      <c r="AM8" s="92">
        <v>6831.85</v>
      </c>
      <c r="AN8" s="92">
        <v>82</v>
      </c>
      <c r="AO8" s="92">
        <v>213</v>
      </c>
      <c r="AP8" s="92">
        <v>63</v>
      </c>
      <c r="AQ8" s="92">
        <v>185</v>
      </c>
      <c r="AR8" s="76">
        <v>656</v>
      </c>
      <c r="AS8" s="76">
        <v>1706</v>
      </c>
      <c r="AT8" s="92">
        <v>499</v>
      </c>
      <c r="AU8" s="92">
        <v>1464</v>
      </c>
      <c r="AV8" s="92">
        <v>684</v>
      </c>
      <c r="AW8" s="92">
        <v>2197</v>
      </c>
      <c r="AX8" s="92">
        <v>297</v>
      </c>
      <c r="AY8" s="92">
        <v>877</v>
      </c>
      <c r="AZ8" s="92">
        <v>1780</v>
      </c>
      <c r="BA8" s="92">
        <v>5442</v>
      </c>
      <c r="BB8" s="92">
        <v>1198</v>
      </c>
      <c r="BC8" s="92">
        <v>11581</v>
      </c>
      <c r="BD8" s="92">
        <v>4433</v>
      </c>
      <c r="BE8" s="92">
        <v>11602</v>
      </c>
      <c r="BF8" s="92">
        <v>2252</v>
      </c>
      <c r="BG8" s="92">
        <v>6051</v>
      </c>
      <c r="BH8" s="92">
        <v>2896</v>
      </c>
      <c r="BI8" s="92">
        <v>7874</v>
      </c>
      <c r="BJ8" s="92">
        <v>94</v>
      </c>
      <c r="BK8" s="92">
        <v>610</v>
      </c>
      <c r="BL8" s="68">
        <f t="shared" si="0"/>
        <v>27439.089999999997</v>
      </c>
      <c r="BM8" s="68">
        <f t="shared" si="1"/>
        <v>84976.39</v>
      </c>
    </row>
    <row r="9" spans="1:65" x14ac:dyDescent="0.25">
      <c r="A9" s="20" t="s">
        <v>174</v>
      </c>
      <c r="B9" s="92">
        <v>14</v>
      </c>
      <c r="C9" s="92">
        <v>18</v>
      </c>
      <c r="D9" s="92">
        <v>99</v>
      </c>
      <c r="E9" s="92">
        <v>289</v>
      </c>
      <c r="F9" s="92">
        <v>56</v>
      </c>
      <c r="G9" s="92">
        <v>146</v>
      </c>
      <c r="H9" s="92">
        <v>315</v>
      </c>
      <c r="I9" s="92">
        <v>894</v>
      </c>
      <c r="J9" s="92">
        <v>20</v>
      </c>
      <c r="K9" s="92">
        <v>43</v>
      </c>
      <c r="L9" s="92">
        <v>91</v>
      </c>
      <c r="M9" s="92">
        <v>214</v>
      </c>
      <c r="N9" s="92">
        <v>277.12</v>
      </c>
      <c r="O9" s="92">
        <v>801.57</v>
      </c>
      <c r="P9" s="92">
        <v>16.059999999999999</v>
      </c>
      <c r="Q9" s="92">
        <v>36.68</v>
      </c>
      <c r="R9" s="92">
        <v>1364.3</v>
      </c>
      <c r="S9" s="92">
        <v>3555.38</v>
      </c>
      <c r="T9" s="92"/>
      <c r="U9" s="92"/>
      <c r="V9" s="92">
        <v>517</v>
      </c>
      <c r="W9" s="92">
        <v>1589</v>
      </c>
      <c r="X9" s="92">
        <v>1469</v>
      </c>
      <c r="Y9" s="92">
        <v>4881</v>
      </c>
      <c r="Z9" s="92">
        <v>511</v>
      </c>
      <c r="AA9" s="92">
        <v>1686</v>
      </c>
      <c r="AB9" s="92">
        <v>38.94</v>
      </c>
      <c r="AC9" s="92">
        <v>117.09</v>
      </c>
      <c r="AD9" s="92">
        <v>261</v>
      </c>
      <c r="AE9" s="92">
        <v>763</v>
      </c>
      <c r="AF9" s="69">
        <v>19.38</v>
      </c>
      <c r="AG9" s="92">
        <v>47.11</v>
      </c>
      <c r="AH9" s="92">
        <v>-1.44</v>
      </c>
      <c r="AI9" s="92">
        <v>12.19</v>
      </c>
      <c r="AJ9" s="92">
        <v>174</v>
      </c>
      <c r="AK9" s="92">
        <v>465</v>
      </c>
      <c r="AL9" s="92">
        <v>132.52000000000001</v>
      </c>
      <c r="AM9" s="92">
        <v>334.36</v>
      </c>
      <c r="AN9" s="92">
        <v>1</v>
      </c>
      <c r="AO9" s="92">
        <v>2</v>
      </c>
      <c r="AP9" s="92">
        <v>0</v>
      </c>
      <c r="AQ9" s="92">
        <v>0</v>
      </c>
      <c r="AR9" s="76">
        <v>1266</v>
      </c>
      <c r="AS9" s="76">
        <v>4010</v>
      </c>
      <c r="AT9" s="92">
        <v>142</v>
      </c>
      <c r="AU9" s="92">
        <v>441</v>
      </c>
      <c r="AV9" s="92">
        <v>878</v>
      </c>
      <c r="AW9" s="92">
        <v>2190</v>
      </c>
      <c r="AX9" s="92">
        <v>92</v>
      </c>
      <c r="AY9" s="92">
        <v>202</v>
      </c>
      <c r="AZ9" s="92">
        <v>666</v>
      </c>
      <c r="BA9" s="92">
        <v>2040</v>
      </c>
      <c r="BB9" s="92">
        <v>84</v>
      </c>
      <c r="BC9" s="92">
        <v>190</v>
      </c>
      <c r="BD9" s="92">
        <v>1777</v>
      </c>
      <c r="BE9" s="92">
        <v>5762</v>
      </c>
      <c r="BF9" s="92">
        <v>649</v>
      </c>
      <c r="BG9" s="92">
        <v>1794</v>
      </c>
      <c r="BH9" s="92">
        <v>262</v>
      </c>
      <c r="BI9" s="92">
        <v>723</v>
      </c>
      <c r="BJ9" s="92">
        <v>204</v>
      </c>
      <c r="BK9" s="92">
        <v>700</v>
      </c>
      <c r="BL9" s="68">
        <f t="shared" si="0"/>
        <v>11394.880000000001</v>
      </c>
      <c r="BM9" s="68">
        <f t="shared" si="1"/>
        <v>33946.380000000005</v>
      </c>
    </row>
    <row r="10" spans="1:65" x14ac:dyDescent="0.25">
      <c r="A10" s="20" t="s">
        <v>175</v>
      </c>
      <c r="B10" s="92"/>
      <c r="C10" s="92">
        <v>3</v>
      </c>
      <c r="D10" s="92">
        <v>37</v>
      </c>
      <c r="E10" s="92">
        <v>319</v>
      </c>
      <c r="F10" s="92">
        <v>74</v>
      </c>
      <c r="G10" s="92">
        <v>198</v>
      </c>
      <c r="H10" s="92">
        <v>114</v>
      </c>
      <c r="I10" s="92">
        <v>532</v>
      </c>
      <c r="J10" s="92">
        <v>221</v>
      </c>
      <c r="K10" s="92">
        <v>547</v>
      </c>
      <c r="L10" s="92">
        <v>127</v>
      </c>
      <c r="M10" s="92">
        <v>291</v>
      </c>
      <c r="N10" s="92">
        <v>45.9</v>
      </c>
      <c r="O10" s="92">
        <v>113.89</v>
      </c>
      <c r="P10" s="92">
        <v>7.86</v>
      </c>
      <c r="Q10" s="92">
        <v>10.89</v>
      </c>
      <c r="R10" s="92">
        <v>269.26</v>
      </c>
      <c r="S10" s="92">
        <v>443.28</v>
      </c>
      <c r="T10" s="92">
        <v>36</v>
      </c>
      <c r="U10" s="92">
        <v>87</v>
      </c>
      <c r="V10" s="92">
        <v>309</v>
      </c>
      <c r="W10" s="92">
        <v>973</v>
      </c>
      <c r="X10" s="92">
        <v>300</v>
      </c>
      <c r="Y10" s="92">
        <v>853</v>
      </c>
      <c r="Z10" s="92">
        <v>146</v>
      </c>
      <c r="AA10" s="92">
        <v>397</v>
      </c>
      <c r="AB10" s="92">
        <v>36.47</v>
      </c>
      <c r="AC10" s="92">
        <v>76.89</v>
      </c>
      <c r="AD10" s="92">
        <v>76</v>
      </c>
      <c r="AE10" s="92">
        <v>231</v>
      </c>
      <c r="AF10" s="69">
        <v>22.93</v>
      </c>
      <c r="AG10" s="92">
        <v>53.88</v>
      </c>
      <c r="AH10" s="92">
        <v>31.52</v>
      </c>
      <c r="AI10" s="92">
        <v>77.319999999999993</v>
      </c>
      <c r="AJ10" s="92">
        <v>4</v>
      </c>
      <c r="AK10" s="92">
        <v>20</v>
      </c>
      <c r="AL10" s="92">
        <v>794.68</v>
      </c>
      <c r="AM10" s="92">
        <v>2183.54</v>
      </c>
      <c r="AN10" s="92">
        <v>4</v>
      </c>
      <c r="AO10" s="92">
        <v>8</v>
      </c>
      <c r="AP10" s="92">
        <v>-2</v>
      </c>
      <c r="AQ10" s="92">
        <v>26</v>
      </c>
      <c r="AR10" s="76">
        <v>-86</v>
      </c>
      <c r="AS10" s="76">
        <v>155</v>
      </c>
      <c r="AT10" s="92">
        <v>91</v>
      </c>
      <c r="AU10" s="92">
        <v>221</v>
      </c>
      <c r="AV10" s="92">
        <v>651</v>
      </c>
      <c r="AW10" s="92">
        <v>1339</v>
      </c>
      <c r="AX10" s="92">
        <v>52</v>
      </c>
      <c r="AY10" s="92">
        <v>159</v>
      </c>
      <c r="AZ10" s="92">
        <v>452</v>
      </c>
      <c r="BA10" s="92">
        <v>1473</v>
      </c>
      <c r="BB10" s="92">
        <v>209</v>
      </c>
      <c r="BC10" s="92">
        <v>543</v>
      </c>
      <c r="BD10" s="92">
        <v>753</v>
      </c>
      <c r="BE10" s="92">
        <v>2125</v>
      </c>
      <c r="BF10" s="92">
        <v>312</v>
      </c>
      <c r="BG10" s="92">
        <v>834</v>
      </c>
      <c r="BH10" s="92">
        <v>443</v>
      </c>
      <c r="BI10" s="92">
        <v>1069</v>
      </c>
      <c r="BJ10" s="92">
        <v>161</v>
      </c>
      <c r="BK10" s="92">
        <v>368</v>
      </c>
      <c r="BL10" s="68">
        <f t="shared" si="0"/>
        <v>5692.62</v>
      </c>
      <c r="BM10" s="68">
        <f t="shared" si="1"/>
        <v>15730.69</v>
      </c>
    </row>
    <row r="11" spans="1:65" x14ac:dyDescent="0.25">
      <c r="A11" s="20" t="s">
        <v>176</v>
      </c>
      <c r="B11" s="92">
        <v>25</v>
      </c>
      <c r="C11" s="92">
        <v>72</v>
      </c>
      <c r="D11" s="92">
        <v>165</v>
      </c>
      <c r="E11" s="92">
        <v>511</v>
      </c>
      <c r="F11" s="92">
        <v>45</v>
      </c>
      <c r="G11" s="92">
        <v>80</v>
      </c>
      <c r="H11" s="92">
        <v>333</v>
      </c>
      <c r="I11" s="92">
        <v>1134</v>
      </c>
      <c r="J11" s="92">
        <v>400</v>
      </c>
      <c r="K11" s="92">
        <v>1116</v>
      </c>
      <c r="L11" s="92">
        <v>235</v>
      </c>
      <c r="M11" s="92">
        <v>611</v>
      </c>
      <c r="N11" s="92">
        <v>29.21</v>
      </c>
      <c r="O11" s="92">
        <v>83.84</v>
      </c>
      <c r="P11" s="92">
        <v>13.54</v>
      </c>
      <c r="Q11" s="92">
        <v>30.95</v>
      </c>
      <c r="R11" s="92">
        <v>250.29</v>
      </c>
      <c r="S11" s="92">
        <v>641.16</v>
      </c>
      <c r="T11" s="92">
        <v>43</v>
      </c>
      <c r="U11" s="92">
        <v>132</v>
      </c>
      <c r="V11" s="92">
        <v>324</v>
      </c>
      <c r="W11" s="92">
        <v>761</v>
      </c>
      <c r="X11" s="92">
        <v>1348</v>
      </c>
      <c r="Y11" s="92">
        <v>4361</v>
      </c>
      <c r="Z11" s="92">
        <v>280</v>
      </c>
      <c r="AA11" s="92">
        <v>1021</v>
      </c>
      <c r="AB11" s="92">
        <v>38.86</v>
      </c>
      <c r="AC11" s="92">
        <v>94.24</v>
      </c>
      <c r="AD11" s="92">
        <v>107</v>
      </c>
      <c r="AE11" s="92">
        <v>310</v>
      </c>
      <c r="AF11" s="69">
        <v>35.53</v>
      </c>
      <c r="AG11" s="92">
        <v>80.92</v>
      </c>
      <c r="AH11" s="92">
        <v>81.739999999999995</v>
      </c>
      <c r="AI11" s="92">
        <v>307.3</v>
      </c>
      <c r="AJ11" s="92">
        <v>154</v>
      </c>
      <c r="AK11" s="92">
        <v>753</v>
      </c>
      <c r="AL11" s="92">
        <v>425.43</v>
      </c>
      <c r="AM11" s="92">
        <v>1890.13</v>
      </c>
      <c r="AN11" s="92">
        <v>2</v>
      </c>
      <c r="AO11" s="92">
        <v>14</v>
      </c>
      <c r="AP11" s="92">
        <v>-26</v>
      </c>
      <c r="AQ11" s="92">
        <v>67</v>
      </c>
      <c r="AR11" s="76">
        <v>339</v>
      </c>
      <c r="AS11" s="76">
        <v>995</v>
      </c>
      <c r="AT11" s="92">
        <v>128</v>
      </c>
      <c r="AU11" s="92">
        <v>463</v>
      </c>
      <c r="AV11" s="92">
        <v>646</v>
      </c>
      <c r="AW11" s="92">
        <v>1523</v>
      </c>
      <c r="AX11" s="92">
        <v>115</v>
      </c>
      <c r="AY11" s="92">
        <v>315</v>
      </c>
      <c r="AZ11" s="92">
        <v>768</v>
      </c>
      <c r="BA11" s="92">
        <v>2639</v>
      </c>
      <c r="BB11" s="92">
        <v>692</v>
      </c>
      <c r="BC11" s="92">
        <v>1609</v>
      </c>
      <c r="BD11" s="92">
        <v>815</v>
      </c>
      <c r="BE11" s="92">
        <v>1494</v>
      </c>
      <c r="BF11" s="92">
        <v>274</v>
      </c>
      <c r="BG11" s="92">
        <v>702</v>
      </c>
      <c r="BH11" s="92">
        <v>635</v>
      </c>
      <c r="BI11" s="92">
        <v>1728</v>
      </c>
      <c r="BJ11" s="92">
        <v>155</v>
      </c>
      <c r="BK11" s="92">
        <v>389</v>
      </c>
      <c r="BL11" s="68">
        <f t="shared" si="0"/>
        <v>8876.6</v>
      </c>
      <c r="BM11" s="68">
        <f t="shared" si="1"/>
        <v>25928.54</v>
      </c>
    </row>
    <row r="12" spans="1:65" x14ac:dyDescent="0.25">
      <c r="A12" s="20" t="s">
        <v>177</v>
      </c>
      <c r="B12" s="92">
        <v>-1088</v>
      </c>
      <c r="C12" s="92">
        <v>322</v>
      </c>
      <c r="D12" s="92">
        <v>303</v>
      </c>
      <c r="E12" s="92">
        <v>888</v>
      </c>
      <c r="F12" s="92">
        <v>89</v>
      </c>
      <c r="G12" s="92">
        <v>207</v>
      </c>
      <c r="H12" s="92">
        <v>446</v>
      </c>
      <c r="I12" s="92">
        <v>1333</v>
      </c>
      <c r="J12" s="92">
        <v>465</v>
      </c>
      <c r="K12" s="92">
        <v>1742</v>
      </c>
      <c r="L12" s="92">
        <v>174</v>
      </c>
      <c r="M12" s="92">
        <v>532</v>
      </c>
      <c r="N12" s="92">
        <v>166.79</v>
      </c>
      <c r="O12" s="92">
        <v>569.69000000000005</v>
      </c>
      <c r="P12" s="92">
        <v>61.24</v>
      </c>
      <c r="Q12" s="92">
        <v>209.54</v>
      </c>
      <c r="R12" s="92">
        <v>-2658.13</v>
      </c>
      <c r="S12" s="92">
        <v>1600.17</v>
      </c>
      <c r="T12" s="92">
        <v>10269</v>
      </c>
      <c r="U12" s="92">
        <v>22741</v>
      </c>
      <c r="V12" s="92">
        <v>14279</v>
      </c>
      <c r="W12" s="92">
        <v>35738</v>
      </c>
      <c r="X12" s="92">
        <v>1903</v>
      </c>
      <c r="Y12" s="92">
        <v>6041</v>
      </c>
      <c r="Z12" s="92">
        <v>2345</v>
      </c>
      <c r="AA12" s="92">
        <v>5860</v>
      </c>
      <c r="AB12" s="92">
        <v>171.14</v>
      </c>
      <c r="AC12" s="92">
        <v>403.4</v>
      </c>
      <c r="AD12" s="92">
        <v>296</v>
      </c>
      <c r="AE12" s="92">
        <v>767</v>
      </c>
      <c r="AF12" s="69">
        <v>170.3</v>
      </c>
      <c r="AG12" s="92">
        <v>468.03</v>
      </c>
      <c r="AH12" s="92">
        <v>616.39</v>
      </c>
      <c r="AI12" s="92">
        <v>1707.71</v>
      </c>
      <c r="AJ12" s="92">
        <v>312</v>
      </c>
      <c r="AK12" s="92">
        <v>938</v>
      </c>
      <c r="AL12" s="92">
        <v>421.02</v>
      </c>
      <c r="AM12" s="92">
        <v>1139.1600000000001</v>
      </c>
      <c r="AN12" s="92">
        <v>132</v>
      </c>
      <c r="AO12" s="92">
        <v>344</v>
      </c>
      <c r="AP12" s="92">
        <v>116</v>
      </c>
      <c r="AQ12" s="92">
        <v>426</v>
      </c>
      <c r="AR12" s="76">
        <v>562</v>
      </c>
      <c r="AS12" s="76">
        <v>1737</v>
      </c>
      <c r="AT12" s="92">
        <v>60</v>
      </c>
      <c r="AU12" s="92">
        <v>138</v>
      </c>
      <c r="AV12" s="92">
        <v>2266</v>
      </c>
      <c r="AW12" s="92">
        <v>7171</v>
      </c>
      <c r="AX12" s="92">
        <v>695</v>
      </c>
      <c r="AY12" s="92">
        <v>1865</v>
      </c>
      <c r="AZ12" s="92">
        <v>995</v>
      </c>
      <c r="BA12" s="92">
        <v>2834</v>
      </c>
      <c r="BB12" s="92">
        <v>14626</v>
      </c>
      <c r="BC12" s="92">
        <v>38054</v>
      </c>
      <c r="BD12" s="92">
        <v>1715</v>
      </c>
      <c r="BE12" s="92">
        <v>4960</v>
      </c>
      <c r="BF12" s="92">
        <v>281</v>
      </c>
      <c r="BG12" s="92">
        <v>557</v>
      </c>
      <c r="BH12" s="92">
        <v>205</v>
      </c>
      <c r="BI12" s="92">
        <v>712</v>
      </c>
      <c r="BJ12" s="92">
        <v>245</v>
      </c>
      <c r="BK12" s="92">
        <v>672</v>
      </c>
      <c r="BL12" s="68">
        <f t="shared" si="0"/>
        <v>50639.75</v>
      </c>
      <c r="BM12" s="68">
        <f t="shared" si="1"/>
        <v>142676.70000000001</v>
      </c>
    </row>
    <row r="13" spans="1:65" x14ac:dyDescent="0.25">
      <c r="A13" s="20" t="s">
        <v>178</v>
      </c>
      <c r="B13" s="92">
        <v>7299</v>
      </c>
      <c r="C13" s="92">
        <v>21968</v>
      </c>
      <c r="D13" s="92">
        <v>4400</v>
      </c>
      <c r="E13" s="92">
        <v>11994</v>
      </c>
      <c r="F13" s="92">
        <v>1233</v>
      </c>
      <c r="G13" s="92">
        <v>4998</v>
      </c>
      <c r="H13" s="92">
        <v>3761</v>
      </c>
      <c r="I13" s="92">
        <v>8421</v>
      </c>
      <c r="J13" s="92">
        <v>8593</v>
      </c>
      <c r="K13" s="92">
        <v>19899</v>
      </c>
      <c r="L13" s="92">
        <v>13003</v>
      </c>
      <c r="M13" s="92">
        <v>25807</v>
      </c>
      <c r="N13" s="92">
        <v>93.74</v>
      </c>
      <c r="O13" s="92">
        <v>227.11</v>
      </c>
      <c r="P13" s="92">
        <v>1975.88</v>
      </c>
      <c r="Q13" s="92">
        <v>3224.3</v>
      </c>
      <c r="R13" s="92">
        <v>5855.87</v>
      </c>
      <c r="S13" s="92">
        <v>17256.349999999999</v>
      </c>
      <c r="T13" s="92">
        <v>20921</v>
      </c>
      <c r="U13" s="92">
        <v>42153</v>
      </c>
      <c r="V13" s="92">
        <v>9750</v>
      </c>
      <c r="W13" s="92">
        <v>34099</v>
      </c>
      <c r="X13" s="92">
        <v>12565</v>
      </c>
      <c r="Y13" s="92">
        <v>40953</v>
      </c>
      <c r="Z13" s="92">
        <v>8647</v>
      </c>
      <c r="AA13" s="92">
        <v>16195</v>
      </c>
      <c r="AB13" s="92">
        <v>1797.16</v>
      </c>
      <c r="AC13" s="92">
        <v>4023.39</v>
      </c>
      <c r="AD13" s="92">
        <v>2685</v>
      </c>
      <c r="AE13" s="92">
        <v>5113</v>
      </c>
      <c r="AF13" s="69">
        <v>12176.18</v>
      </c>
      <c r="AG13" s="92">
        <v>26168.22</v>
      </c>
      <c r="AH13" s="92">
        <v>3696.56</v>
      </c>
      <c r="AI13" s="92">
        <v>8467.2800000000007</v>
      </c>
      <c r="AJ13" s="92">
        <v>7195</v>
      </c>
      <c r="AK13" s="92">
        <v>17241</v>
      </c>
      <c r="AL13" s="92">
        <v>12.68</v>
      </c>
      <c r="AM13" s="92">
        <v>415.31</v>
      </c>
      <c r="AN13" s="92">
        <v>3966</v>
      </c>
      <c r="AO13" s="92">
        <v>6995</v>
      </c>
      <c r="AP13" s="92">
        <v>1555</v>
      </c>
      <c r="AQ13" s="92">
        <v>4742</v>
      </c>
      <c r="AR13" s="76">
        <v>28166</v>
      </c>
      <c r="AS13" s="76">
        <v>70038</v>
      </c>
      <c r="AT13" s="92">
        <v>2950</v>
      </c>
      <c r="AU13" s="92">
        <v>5372</v>
      </c>
      <c r="AV13" s="92">
        <v>11057</v>
      </c>
      <c r="AW13" s="92">
        <v>19268</v>
      </c>
      <c r="AX13" s="76">
        <v>173</v>
      </c>
      <c r="AY13" s="76">
        <v>512</v>
      </c>
      <c r="AZ13" s="92">
        <v>3173</v>
      </c>
      <c r="BA13" s="92">
        <v>10327</v>
      </c>
      <c r="BB13" s="92">
        <v>28166</v>
      </c>
      <c r="BC13" s="92">
        <v>51169</v>
      </c>
      <c r="BD13" s="92">
        <v>1555</v>
      </c>
      <c r="BE13" s="92">
        <v>3660</v>
      </c>
      <c r="BF13" s="92"/>
      <c r="BG13" s="92"/>
      <c r="BH13" s="92">
        <v>-41</v>
      </c>
      <c r="BI13" s="92">
        <v>-55</v>
      </c>
      <c r="BJ13" s="92">
        <v>277</v>
      </c>
      <c r="BK13" s="92">
        <v>498</v>
      </c>
      <c r="BL13" s="68">
        <f t="shared" si="0"/>
        <v>206657.06999999998</v>
      </c>
      <c r="BM13" s="68">
        <f t="shared" si="1"/>
        <v>481148.96</v>
      </c>
    </row>
    <row r="14" spans="1:65" x14ac:dyDescent="0.25">
      <c r="A14" s="20" t="s">
        <v>179</v>
      </c>
      <c r="B14" s="92">
        <v>116</v>
      </c>
      <c r="C14" s="92">
        <v>259</v>
      </c>
      <c r="D14" s="92">
        <v>76</v>
      </c>
      <c r="E14" s="92">
        <v>231</v>
      </c>
      <c r="F14" s="92">
        <v>2</v>
      </c>
      <c r="G14" s="92">
        <v>5</v>
      </c>
      <c r="H14" s="92">
        <v>852</v>
      </c>
      <c r="I14" s="92">
        <v>2302</v>
      </c>
      <c r="J14" s="92">
        <v>258</v>
      </c>
      <c r="K14" s="92">
        <v>721</v>
      </c>
      <c r="L14" s="92">
        <v>523</v>
      </c>
      <c r="M14" s="92">
        <v>1298</v>
      </c>
      <c r="N14" s="92">
        <v>1.54</v>
      </c>
      <c r="O14" s="92">
        <v>4.05</v>
      </c>
      <c r="P14" s="92">
        <v>25.04</v>
      </c>
      <c r="Q14" s="92">
        <v>51.72</v>
      </c>
      <c r="R14" s="92">
        <v>148.38</v>
      </c>
      <c r="S14" s="92">
        <v>506.08</v>
      </c>
      <c r="T14" s="92">
        <v>336</v>
      </c>
      <c r="U14" s="92">
        <v>816</v>
      </c>
      <c r="V14" s="92">
        <v>873</v>
      </c>
      <c r="W14" s="92">
        <v>2663</v>
      </c>
      <c r="X14" s="92">
        <v>1588</v>
      </c>
      <c r="Y14" s="92">
        <v>4036</v>
      </c>
      <c r="Z14" s="92">
        <v>704</v>
      </c>
      <c r="AA14" s="92">
        <v>1856</v>
      </c>
      <c r="AB14" s="92">
        <v>74.709999999999994</v>
      </c>
      <c r="AC14" s="92">
        <v>132.08000000000001</v>
      </c>
      <c r="AD14" s="92">
        <v>95</v>
      </c>
      <c r="AE14" s="92">
        <v>261</v>
      </c>
      <c r="AF14" s="69">
        <v>179.44</v>
      </c>
      <c r="AG14" s="92">
        <v>449.83</v>
      </c>
      <c r="AH14" s="92">
        <v>56.63</v>
      </c>
      <c r="AI14" s="92">
        <v>206.88</v>
      </c>
      <c r="AJ14" s="92">
        <v>231</v>
      </c>
      <c r="AK14" s="92">
        <v>648</v>
      </c>
      <c r="AL14" s="92">
        <v>153.04</v>
      </c>
      <c r="AM14" s="92">
        <v>1422.37</v>
      </c>
      <c r="AN14" s="92">
        <v>10</v>
      </c>
      <c r="AO14" s="92">
        <v>14</v>
      </c>
      <c r="AP14" s="92">
        <v>20</v>
      </c>
      <c r="AQ14" s="92">
        <v>109</v>
      </c>
      <c r="AR14" s="76">
        <v>322</v>
      </c>
      <c r="AS14" s="76">
        <v>914</v>
      </c>
      <c r="AT14" s="92">
        <v>214</v>
      </c>
      <c r="AU14" s="92">
        <v>559</v>
      </c>
      <c r="AV14" s="92">
        <v>521</v>
      </c>
      <c r="AW14" s="92">
        <v>1040</v>
      </c>
      <c r="AX14" s="76">
        <v>99</v>
      </c>
      <c r="AY14" s="76">
        <v>301</v>
      </c>
      <c r="AZ14" s="92">
        <v>76</v>
      </c>
      <c r="BA14" s="92">
        <v>203</v>
      </c>
      <c r="BB14" s="92">
        <v>714</v>
      </c>
      <c r="BC14" s="92">
        <v>1650</v>
      </c>
      <c r="BD14" s="92">
        <v>704</v>
      </c>
      <c r="BE14" s="92">
        <v>1810</v>
      </c>
      <c r="BF14" s="92"/>
      <c r="BG14" s="92"/>
      <c r="BH14" s="92">
        <v>694</v>
      </c>
      <c r="BI14" s="92">
        <v>2232</v>
      </c>
      <c r="BJ14" s="92">
        <v>209</v>
      </c>
      <c r="BK14" s="92">
        <v>508</v>
      </c>
      <c r="BL14" s="68">
        <f t="shared" si="0"/>
        <v>9875.7799999999988</v>
      </c>
      <c r="BM14" s="68">
        <f t="shared" si="1"/>
        <v>27209.01</v>
      </c>
    </row>
    <row r="15" spans="1:65" x14ac:dyDescent="0.25">
      <c r="A15" s="21" t="s">
        <v>31</v>
      </c>
      <c r="B15" s="76">
        <f>B17-B16-B14-B13-B12-B11-B10-B9-B8-B7-B6-B5</f>
        <v>1465</v>
      </c>
      <c r="C15" s="92">
        <f t="shared" ref="C15:BK15" si="2">C17-C16-C14-C13-C12-C11-C10-C9-C8-C7-C6-C5</f>
        <v>3689</v>
      </c>
      <c r="D15" s="92">
        <f t="shared" si="2"/>
        <v>3057</v>
      </c>
      <c r="E15" s="92">
        <f t="shared" si="2"/>
        <v>8986</v>
      </c>
      <c r="F15" s="92">
        <f t="shared" si="2"/>
        <v>-153</v>
      </c>
      <c r="G15" s="92">
        <f t="shared" si="2"/>
        <v>9866</v>
      </c>
      <c r="H15" s="92">
        <f t="shared" si="2"/>
        <v>31246</v>
      </c>
      <c r="I15" s="92">
        <f t="shared" si="2"/>
        <v>81275</v>
      </c>
      <c r="J15" s="92">
        <f t="shared" si="2"/>
        <v>1678</v>
      </c>
      <c r="K15" s="92">
        <f t="shared" si="2"/>
        <v>4486</v>
      </c>
      <c r="L15" s="92">
        <f t="shared" si="2"/>
        <v>18279</v>
      </c>
      <c r="M15" s="92">
        <f t="shared" si="2"/>
        <v>53752</v>
      </c>
      <c r="N15" s="92">
        <f t="shared" si="2"/>
        <v>846.77000000000044</v>
      </c>
      <c r="O15" s="92">
        <f t="shared" si="2"/>
        <v>2330.760000000002</v>
      </c>
      <c r="P15" s="92">
        <f t="shared" si="2"/>
        <v>399.18000000000006</v>
      </c>
      <c r="Q15" s="92">
        <f t="shared" si="2"/>
        <v>1443.5100000000011</v>
      </c>
      <c r="R15" s="92">
        <f t="shared" si="2"/>
        <v>8294.9000000000033</v>
      </c>
      <c r="S15" s="92">
        <f t="shared" si="2"/>
        <v>20925.949999999997</v>
      </c>
      <c r="T15" s="92">
        <f t="shared" si="2"/>
        <v>5718</v>
      </c>
      <c r="U15" s="92">
        <f t="shared" si="2"/>
        <v>14539</v>
      </c>
      <c r="V15" s="92">
        <f t="shared" si="2"/>
        <v>4269</v>
      </c>
      <c r="W15" s="92">
        <f t="shared" si="2"/>
        <v>14902</v>
      </c>
      <c r="X15" s="92">
        <f t="shared" si="2"/>
        <v>60561</v>
      </c>
      <c r="Y15" s="92">
        <f t="shared" si="2"/>
        <v>138888</v>
      </c>
      <c r="Z15" s="92">
        <f t="shared" si="2"/>
        <v>2944</v>
      </c>
      <c r="AA15" s="92">
        <f t="shared" si="2"/>
        <v>7788</v>
      </c>
      <c r="AB15" s="92">
        <f t="shared" si="2"/>
        <v>1116.0700000000002</v>
      </c>
      <c r="AC15" s="92">
        <f t="shared" si="2"/>
        <v>2966.720000000003</v>
      </c>
      <c r="AD15" s="92">
        <f t="shared" si="2"/>
        <v>5369</v>
      </c>
      <c r="AE15" s="92">
        <f t="shared" si="2"/>
        <v>16145</v>
      </c>
      <c r="AF15" s="92">
        <f t="shared" si="2"/>
        <v>718.5400000000036</v>
      </c>
      <c r="AG15" s="92">
        <f t="shared" si="2"/>
        <v>1790.4500000000007</v>
      </c>
      <c r="AH15" s="92">
        <f t="shared" si="2"/>
        <v>2108.5499999999993</v>
      </c>
      <c r="AI15" s="92">
        <f t="shared" si="2"/>
        <v>4186.8200000000015</v>
      </c>
      <c r="AJ15" s="92">
        <f t="shared" si="2"/>
        <v>1201</v>
      </c>
      <c r="AK15" s="92">
        <f t="shared" si="2"/>
        <v>3368</v>
      </c>
      <c r="AL15" s="92">
        <f t="shared" si="2"/>
        <v>11116.050000000003</v>
      </c>
      <c r="AM15" s="92">
        <f t="shared" si="2"/>
        <v>26268.99000000002</v>
      </c>
      <c r="AN15" s="92">
        <f t="shared" si="2"/>
        <v>282</v>
      </c>
      <c r="AO15" s="92">
        <f t="shared" si="2"/>
        <v>639</v>
      </c>
      <c r="AP15" s="92">
        <f t="shared" si="2"/>
        <v>445</v>
      </c>
      <c r="AQ15" s="92">
        <f t="shared" si="2"/>
        <v>1251</v>
      </c>
      <c r="AR15" s="92">
        <f t="shared" si="2"/>
        <v>3197</v>
      </c>
      <c r="AS15" s="92">
        <f t="shared" si="2"/>
        <v>10727</v>
      </c>
      <c r="AT15" s="92">
        <f t="shared" si="2"/>
        <v>4304</v>
      </c>
      <c r="AU15" s="92">
        <f t="shared" si="2"/>
        <v>14652</v>
      </c>
      <c r="AV15" s="92">
        <f t="shared" si="2"/>
        <v>7292</v>
      </c>
      <c r="AW15" s="92">
        <f t="shared" si="2"/>
        <v>25136</v>
      </c>
      <c r="AX15" s="92">
        <f t="shared" si="2"/>
        <v>8377</v>
      </c>
      <c r="AY15" s="92">
        <f t="shared" si="2"/>
        <v>18461</v>
      </c>
      <c r="AZ15" s="92">
        <f t="shared" si="2"/>
        <v>5064</v>
      </c>
      <c r="BA15" s="92">
        <f t="shared" si="2"/>
        <v>10629</v>
      </c>
      <c r="BB15" s="92">
        <f t="shared" si="2"/>
        <v>1448</v>
      </c>
      <c r="BC15" s="92">
        <f t="shared" si="2"/>
        <v>8620</v>
      </c>
      <c r="BD15" s="92">
        <f t="shared" si="2"/>
        <v>15267</v>
      </c>
      <c r="BE15" s="92">
        <f t="shared" si="2"/>
        <v>42420</v>
      </c>
      <c r="BF15" s="92">
        <f t="shared" si="2"/>
        <v>6393</v>
      </c>
      <c r="BG15" s="92">
        <f t="shared" si="2"/>
        <v>15228</v>
      </c>
      <c r="BH15" s="92">
        <f t="shared" si="2"/>
        <v>8111</v>
      </c>
      <c r="BI15" s="92">
        <f t="shared" si="2"/>
        <v>21602</v>
      </c>
      <c r="BJ15" s="92">
        <f t="shared" si="2"/>
        <v>3898</v>
      </c>
      <c r="BK15" s="92">
        <f t="shared" si="2"/>
        <v>11191</v>
      </c>
      <c r="BL15" s="68">
        <f t="shared" si="0"/>
        <v>224312.06</v>
      </c>
      <c r="BM15" s="68">
        <f t="shared" si="1"/>
        <v>598153.20000000007</v>
      </c>
    </row>
    <row r="16" spans="1:65" x14ac:dyDescent="0.25">
      <c r="A16" s="20" t="s">
        <v>180</v>
      </c>
      <c r="B16" s="76"/>
      <c r="C16" s="76">
        <v>47</v>
      </c>
      <c r="D16" s="76"/>
      <c r="E16" s="76"/>
      <c r="F16" s="76"/>
      <c r="G16" s="76"/>
      <c r="H16" s="92">
        <v>334</v>
      </c>
      <c r="I16" s="92">
        <v>812</v>
      </c>
      <c r="J16" s="92">
        <v>12</v>
      </c>
      <c r="K16" s="92">
        <v>13</v>
      </c>
      <c r="L16" s="92"/>
      <c r="M16" s="76"/>
      <c r="N16" s="76"/>
      <c r="O16" s="76"/>
      <c r="P16" s="92">
        <v>21.47</v>
      </c>
      <c r="Q16" s="92">
        <v>74.13</v>
      </c>
      <c r="R16" s="92">
        <v>76.3</v>
      </c>
      <c r="S16" s="92">
        <v>519.66999999999996</v>
      </c>
      <c r="T16" s="76">
        <v>8</v>
      </c>
      <c r="U16" s="76">
        <v>13</v>
      </c>
      <c r="V16" s="92">
        <v>182</v>
      </c>
      <c r="W16" s="92">
        <v>459</v>
      </c>
      <c r="X16" s="92">
        <v>257</v>
      </c>
      <c r="Y16" s="92">
        <v>631</v>
      </c>
      <c r="Z16" s="76"/>
      <c r="AA16" s="76"/>
      <c r="AB16" s="76"/>
      <c r="AC16" s="76"/>
      <c r="AD16" s="92">
        <v>186</v>
      </c>
      <c r="AE16" s="92">
        <v>410</v>
      </c>
      <c r="AF16" s="69">
        <v>1.37</v>
      </c>
      <c r="AG16" s="92">
        <v>5.0999999999999996</v>
      </c>
      <c r="AH16" s="76"/>
      <c r="AI16" s="76"/>
      <c r="AJ16" s="92">
        <v>4</v>
      </c>
      <c r="AK16" s="92">
        <v>6</v>
      </c>
      <c r="AL16" s="92">
        <v>1484.72</v>
      </c>
      <c r="AM16" s="92">
        <v>2272.58</v>
      </c>
      <c r="AN16" s="76">
        <v>7</v>
      </c>
      <c r="AO16" s="92">
        <v>26</v>
      </c>
      <c r="AP16" s="92">
        <v>25</v>
      </c>
      <c r="AQ16" s="92">
        <v>43</v>
      </c>
      <c r="AR16" s="76"/>
      <c r="AS16" s="76"/>
      <c r="AT16" s="92"/>
      <c r="AU16" s="92"/>
      <c r="AV16" s="76"/>
      <c r="AW16" s="76"/>
      <c r="AX16" s="76">
        <v>126</v>
      </c>
      <c r="AY16" s="76">
        <v>177</v>
      </c>
      <c r="AZ16" s="76"/>
      <c r="BA16" s="76"/>
      <c r="BB16" s="92">
        <v>206</v>
      </c>
      <c r="BC16" s="92">
        <v>429</v>
      </c>
      <c r="BD16" s="76"/>
      <c r="BE16" s="76"/>
      <c r="BF16" s="76"/>
      <c r="BG16" s="76"/>
      <c r="BH16" s="92">
        <v>1973</v>
      </c>
      <c r="BI16" s="92">
        <v>1966</v>
      </c>
      <c r="BJ16" s="76"/>
      <c r="BK16" s="76"/>
      <c r="BL16" s="68">
        <f t="shared" si="0"/>
        <v>4903.8599999999997</v>
      </c>
      <c r="BM16" s="68">
        <f t="shared" si="1"/>
        <v>7903.48</v>
      </c>
    </row>
    <row r="17" spans="1:65" s="7" customFormat="1" x14ac:dyDescent="0.25">
      <c r="A17" s="3" t="s">
        <v>40</v>
      </c>
      <c r="B17" s="10">
        <v>12066</v>
      </c>
      <c r="C17" s="10">
        <v>34691</v>
      </c>
      <c r="D17" s="10">
        <v>18086</v>
      </c>
      <c r="E17" s="10">
        <v>50544</v>
      </c>
      <c r="F17" s="10">
        <v>3698</v>
      </c>
      <c r="G17" s="10">
        <v>24188</v>
      </c>
      <c r="H17" s="10">
        <v>54606</v>
      </c>
      <c r="I17" s="10">
        <v>156285</v>
      </c>
      <c r="J17" s="10">
        <v>27471</v>
      </c>
      <c r="K17" s="10">
        <v>72807</v>
      </c>
      <c r="L17" s="10">
        <v>37327</v>
      </c>
      <c r="M17" s="10">
        <v>96461</v>
      </c>
      <c r="N17" s="10">
        <v>7734.27</v>
      </c>
      <c r="O17" s="10">
        <v>19022.77</v>
      </c>
      <c r="P17" s="10">
        <v>4228.93</v>
      </c>
      <c r="Q17" s="10">
        <v>10188.790000000001</v>
      </c>
      <c r="R17" s="10">
        <v>24997.05</v>
      </c>
      <c r="S17" s="10">
        <v>71193.039999999994</v>
      </c>
      <c r="T17" s="10">
        <v>43342</v>
      </c>
      <c r="U17" s="10">
        <v>95671</v>
      </c>
      <c r="V17" s="10">
        <v>49516</v>
      </c>
      <c r="W17" s="10">
        <v>145377</v>
      </c>
      <c r="X17" s="10">
        <v>107484</v>
      </c>
      <c r="Y17" s="10">
        <v>284273</v>
      </c>
      <c r="Z17" s="10">
        <v>27591</v>
      </c>
      <c r="AA17" s="10">
        <v>70197</v>
      </c>
      <c r="AB17" s="10">
        <v>6080.45</v>
      </c>
      <c r="AC17" s="10">
        <v>15542.74</v>
      </c>
      <c r="AD17" s="10">
        <v>14602</v>
      </c>
      <c r="AE17" s="10">
        <v>38099</v>
      </c>
      <c r="AF17" s="10">
        <v>17120.330000000002</v>
      </c>
      <c r="AG17" s="10">
        <v>39570.94</v>
      </c>
      <c r="AH17" s="10">
        <v>11678.57</v>
      </c>
      <c r="AI17" s="10">
        <v>28653.11</v>
      </c>
      <c r="AJ17" s="10">
        <v>20781</v>
      </c>
      <c r="AK17" s="10">
        <v>56175</v>
      </c>
      <c r="AL17" s="10">
        <v>50527.42</v>
      </c>
      <c r="AM17" s="10">
        <v>188190.2</v>
      </c>
      <c r="AN17" s="10">
        <v>5097</v>
      </c>
      <c r="AO17" s="10">
        <v>10757</v>
      </c>
      <c r="AP17" s="10">
        <v>3804</v>
      </c>
      <c r="AQ17" s="10">
        <v>11215</v>
      </c>
      <c r="AR17" s="10">
        <v>47446</v>
      </c>
      <c r="AS17" s="10">
        <v>128494</v>
      </c>
      <c r="AT17" s="10">
        <v>13754</v>
      </c>
      <c r="AU17" s="10">
        <v>38919</v>
      </c>
      <c r="AV17" s="10">
        <v>34768</v>
      </c>
      <c r="AW17" s="10">
        <v>91885</v>
      </c>
      <c r="AX17" s="10">
        <v>12955</v>
      </c>
      <c r="AY17" s="10">
        <v>31273</v>
      </c>
      <c r="AZ17" s="10">
        <v>43774</v>
      </c>
      <c r="BA17" s="10">
        <v>129216</v>
      </c>
      <c r="BB17" s="10">
        <v>61586</v>
      </c>
      <c r="BC17" s="10">
        <v>159073</v>
      </c>
      <c r="BD17" s="10">
        <v>98999</v>
      </c>
      <c r="BE17" s="10">
        <v>288071</v>
      </c>
      <c r="BF17" s="10">
        <v>73250</v>
      </c>
      <c r="BG17" s="10">
        <v>210850</v>
      </c>
      <c r="BH17" s="10">
        <v>88785</v>
      </c>
      <c r="BI17" s="10">
        <v>262099</v>
      </c>
      <c r="BJ17" s="10">
        <v>8571</v>
      </c>
      <c r="BK17" s="10">
        <v>24247</v>
      </c>
      <c r="BL17" s="63">
        <f t="shared" si="0"/>
        <v>1031726.02</v>
      </c>
      <c r="BM17" s="63">
        <f t="shared" si="1"/>
        <v>2883228.59</v>
      </c>
    </row>
  </sheetData>
  <mergeCells count="32">
    <mergeCell ref="BF3:BG3"/>
    <mergeCell ref="BH3:BI3"/>
    <mergeCell ref="BJ3:BK3"/>
    <mergeCell ref="BL3:BM3"/>
    <mergeCell ref="BD3:BE3"/>
    <mergeCell ref="AZ3:BA3"/>
    <mergeCell ref="AH3:AI3"/>
    <mergeCell ref="AJ3:AK3"/>
    <mergeCell ref="AL3:AM3"/>
    <mergeCell ref="AN3:AO3"/>
    <mergeCell ref="AP3:AQ3"/>
    <mergeCell ref="BB3:BC3"/>
    <mergeCell ref="AF3:AG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R3:AS3"/>
    <mergeCell ref="AT3:AU3"/>
    <mergeCell ref="AV3:AW3"/>
    <mergeCell ref="AX3:AY3"/>
    <mergeCell ref="J3:K3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8" t="s">
        <v>307</v>
      </c>
    </row>
    <row r="2" spans="1:33" x14ac:dyDescent="0.25">
      <c r="A2" s="71" t="s">
        <v>98</v>
      </c>
    </row>
    <row r="3" spans="1:33" x14ac:dyDescent="0.25">
      <c r="A3" s="1" t="s">
        <v>0</v>
      </c>
      <c r="B3" s="104" t="s">
        <v>1</v>
      </c>
      <c r="C3" s="104" t="s">
        <v>234</v>
      </c>
      <c r="D3" s="104" t="s">
        <v>2</v>
      </c>
      <c r="E3" s="104" t="s">
        <v>3</v>
      </c>
      <c r="F3" s="104" t="s">
        <v>243</v>
      </c>
      <c r="G3" s="104" t="s">
        <v>235</v>
      </c>
      <c r="H3" s="104" t="s">
        <v>5</v>
      </c>
      <c r="I3" s="104" t="s">
        <v>4</v>
      </c>
      <c r="J3" s="104" t="s">
        <v>6</v>
      </c>
      <c r="K3" s="104" t="s">
        <v>246</v>
      </c>
      <c r="L3" s="104" t="s">
        <v>7</v>
      </c>
      <c r="M3" s="104" t="s">
        <v>8</v>
      </c>
      <c r="N3" s="104" t="s">
        <v>9</v>
      </c>
      <c r="O3" s="104" t="s">
        <v>242</v>
      </c>
      <c r="P3" s="104" t="s">
        <v>10</v>
      </c>
      <c r="Q3" s="104" t="s">
        <v>11</v>
      </c>
      <c r="R3" s="104" t="s">
        <v>236</v>
      </c>
      <c r="S3" s="104" t="s">
        <v>245</v>
      </c>
      <c r="T3" s="104" t="s">
        <v>12</v>
      </c>
      <c r="U3" s="104" t="s">
        <v>237</v>
      </c>
      <c r="V3" s="104" t="s">
        <v>238</v>
      </c>
      <c r="W3" s="104" t="s">
        <v>241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239</v>
      </c>
      <c r="AD3" s="103" t="s">
        <v>240</v>
      </c>
      <c r="AE3" s="103" t="s">
        <v>18</v>
      </c>
      <c r="AF3" s="104" t="s">
        <v>19</v>
      </c>
      <c r="AG3" s="84" t="s">
        <v>20</v>
      </c>
    </row>
    <row r="4" spans="1:33" x14ac:dyDescent="0.25">
      <c r="A4" s="76" t="s">
        <v>33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>
        <v>5.75</v>
      </c>
      <c r="AD4" s="92"/>
      <c r="AE4" s="92"/>
      <c r="AF4" s="92"/>
      <c r="AG4" s="64">
        <f t="shared" ref="AG4:AG11" si="0">SUM(B4:AF4)</f>
        <v>5.75</v>
      </c>
    </row>
    <row r="5" spans="1:33" x14ac:dyDescent="0.25">
      <c r="A5" s="76" t="s">
        <v>34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>
        <v>26</v>
      </c>
      <c r="AE5" s="92">
        <v>136</v>
      </c>
      <c r="AF5" s="92"/>
      <c r="AG5" s="64">
        <f t="shared" si="0"/>
        <v>162</v>
      </c>
    </row>
    <row r="6" spans="1:33" x14ac:dyDescent="0.25">
      <c r="A6" s="76" t="s">
        <v>35</v>
      </c>
      <c r="B6" s="92"/>
      <c r="C6" s="92">
        <v>133970</v>
      </c>
      <c r="D6" s="92"/>
      <c r="E6" s="92">
        <v>16662</v>
      </c>
      <c r="F6" s="92">
        <f>26148+3429</f>
        <v>29577</v>
      </c>
      <c r="G6" s="92">
        <v>14326</v>
      </c>
      <c r="H6" s="92"/>
      <c r="I6" s="92"/>
      <c r="J6" s="92"/>
      <c r="K6" s="92">
        <v>135067</v>
      </c>
      <c r="L6" s="92">
        <v>141659</v>
      </c>
      <c r="M6" s="92">
        <v>639857</v>
      </c>
      <c r="N6" s="92">
        <v>84599</v>
      </c>
      <c r="O6" s="92"/>
      <c r="P6" s="92">
        <v>74812</v>
      </c>
      <c r="Q6" s="92">
        <v>27962.240000000002</v>
      </c>
      <c r="R6" s="92">
        <v>34234.550000000003</v>
      </c>
      <c r="S6" s="92">
        <f>5675+6826</f>
        <v>12501</v>
      </c>
      <c r="T6" s="92"/>
      <c r="U6" s="92"/>
      <c r="V6" s="92">
        <v>12315</v>
      </c>
      <c r="W6" s="92">
        <v>76671</v>
      </c>
      <c r="X6" s="92">
        <v>25500</v>
      </c>
      <c r="Y6" s="92">
        <v>133901</v>
      </c>
      <c r="Z6" s="92">
        <v>20</v>
      </c>
      <c r="AA6" s="92">
        <v>569326</v>
      </c>
      <c r="AB6" s="92">
        <v>47054</v>
      </c>
      <c r="AC6" s="92">
        <v>189085</v>
      </c>
      <c r="AD6" s="92"/>
      <c r="AE6" s="92"/>
      <c r="AF6" s="92">
        <v>16762</v>
      </c>
      <c r="AG6" s="64">
        <f t="shared" si="0"/>
        <v>2415860.79</v>
      </c>
    </row>
    <row r="7" spans="1:33" x14ac:dyDescent="0.25">
      <c r="A7" s="76" t="s">
        <v>36</v>
      </c>
      <c r="B7" s="92"/>
      <c r="C7" s="92"/>
      <c r="D7" s="92">
        <v>443399</v>
      </c>
      <c r="E7" s="92"/>
      <c r="F7" s="92"/>
      <c r="G7" s="92">
        <v>78476</v>
      </c>
      <c r="H7" s="92">
        <v>295572.28999999998</v>
      </c>
      <c r="I7" s="92"/>
      <c r="J7" s="92"/>
      <c r="K7" s="92"/>
      <c r="L7" s="92"/>
      <c r="M7" s="92">
        <v>6108</v>
      </c>
      <c r="N7" s="92"/>
      <c r="O7" s="92"/>
      <c r="P7" s="92"/>
      <c r="Q7" s="92"/>
      <c r="R7" s="92"/>
      <c r="S7" s="92"/>
      <c r="T7" s="92"/>
      <c r="U7" s="92"/>
      <c r="V7" s="92"/>
      <c r="W7" s="92"/>
      <c r="X7" s="92">
        <v>500</v>
      </c>
      <c r="Y7" s="92"/>
      <c r="Z7" s="92"/>
      <c r="AA7" s="92"/>
      <c r="AB7" s="92">
        <v>1512</v>
      </c>
      <c r="AC7" s="92">
        <v>1532805</v>
      </c>
      <c r="AD7" s="92">
        <v>-237066</v>
      </c>
      <c r="AE7" s="92"/>
      <c r="AF7" s="92"/>
      <c r="AG7" s="64">
        <f t="shared" si="0"/>
        <v>2121306.29</v>
      </c>
    </row>
    <row r="8" spans="1:33" x14ac:dyDescent="0.25">
      <c r="A8" s="76" t="s">
        <v>37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>
        <v>12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64">
        <f t="shared" si="0"/>
        <v>12</v>
      </c>
    </row>
    <row r="9" spans="1:33" x14ac:dyDescent="0.25">
      <c r="A9" s="76" t="s">
        <v>38</v>
      </c>
      <c r="B9" s="92">
        <f>B11-B10-B8-B7-B6-B5-B4</f>
        <v>527</v>
      </c>
      <c r="C9" s="92">
        <f t="shared" ref="C9:AB9" si="1">C11-C10-C8-C7-C6-C5-C4</f>
        <v>0</v>
      </c>
      <c r="D9" s="92">
        <f>D11-D10-D8-D7-D6-D5-D4</f>
        <v>0</v>
      </c>
      <c r="E9" s="92">
        <f t="shared" si="1"/>
        <v>0</v>
      </c>
      <c r="F9" s="92">
        <f t="shared" si="1"/>
        <v>1689</v>
      </c>
      <c r="G9" s="92">
        <f t="shared" si="1"/>
        <v>2000</v>
      </c>
      <c r="H9" s="92">
        <f t="shared" si="1"/>
        <v>6000.0000000000582</v>
      </c>
      <c r="I9" s="92">
        <f t="shared" si="1"/>
        <v>0</v>
      </c>
      <c r="J9" s="92">
        <f t="shared" si="1"/>
        <v>0</v>
      </c>
      <c r="K9" s="92">
        <f t="shared" si="1"/>
        <v>2629</v>
      </c>
      <c r="L9" s="92">
        <f t="shared" si="1"/>
        <v>33595</v>
      </c>
      <c r="M9" s="92">
        <f t="shared" si="1"/>
        <v>0</v>
      </c>
      <c r="N9" s="92">
        <f t="shared" si="1"/>
        <v>0</v>
      </c>
      <c r="O9" s="92">
        <f t="shared" si="1"/>
        <v>0</v>
      </c>
      <c r="P9" s="92">
        <f t="shared" si="1"/>
        <v>0</v>
      </c>
      <c r="Q9" s="92">
        <f t="shared" si="1"/>
        <v>0</v>
      </c>
      <c r="R9" s="92">
        <f t="shared" si="1"/>
        <v>0</v>
      </c>
      <c r="S9" s="92">
        <f t="shared" si="1"/>
        <v>3</v>
      </c>
      <c r="T9" s="92">
        <f t="shared" si="1"/>
        <v>799.66</v>
      </c>
      <c r="U9" s="92">
        <f t="shared" si="1"/>
        <v>0</v>
      </c>
      <c r="V9" s="92">
        <f t="shared" si="1"/>
        <v>0</v>
      </c>
      <c r="W9" s="92">
        <f t="shared" si="1"/>
        <v>2076</v>
      </c>
      <c r="X9" s="92">
        <f t="shared" si="1"/>
        <v>1260</v>
      </c>
      <c r="Y9" s="92">
        <f t="shared" si="1"/>
        <v>0</v>
      </c>
      <c r="Z9" s="92">
        <f t="shared" si="1"/>
        <v>203687</v>
      </c>
      <c r="AA9" s="92">
        <f t="shared" si="1"/>
        <v>1500</v>
      </c>
      <c r="AB9" s="92">
        <f t="shared" si="1"/>
        <v>4451</v>
      </c>
      <c r="AC9" s="92">
        <f t="shared" ref="AC9:AF9" si="2">AC11-AC10-AC8-AC7-AC6-AC5-AC4</f>
        <v>148947.25</v>
      </c>
      <c r="AD9" s="92">
        <f t="shared" si="2"/>
        <v>0</v>
      </c>
      <c r="AE9" s="92">
        <f t="shared" si="2"/>
        <v>10835</v>
      </c>
      <c r="AF9" s="92">
        <f t="shared" si="2"/>
        <v>0</v>
      </c>
      <c r="AG9" s="64">
        <f t="shared" si="0"/>
        <v>419998.91000000003</v>
      </c>
    </row>
    <row r="10" spans="1:33" x14ac:dyDescent="0.25">
      <c r="A10" s="76" t="s">
        <v>39</v>
      </c>
      <c r="B10" s="92"/>
      <c r="C10" s="92"/>
      <c r="D10" s="92">
        <v>54255</v>
      </c>
      <c r="E10" s="92">
        <v>782378</v>
      </c>
      <c r="F10" s="92"/>
      <c r="G10" s="92">
        <v>69936</v>
      </c>
      <c r="H10" s="92">
        <v>67619.100000000006</v>
      </c>
      <c r="I10" s="92"/>
      <c r="J10" s="92">
        <v>30867.47</v>
      </c>
      <c r="K10" s="92"/>
      <c r="L10" s="92">
        <v>110170</v>
      </c>
      <c r="M10" s="92">
        <v>184095</v>
      </c>
      <c r="N10" s="92">
        <v>214259</v>
      </c>
      <c r="O10" s="92"/>
      <c r="P10" s="92"/>
      <c r="Q10" s="92"/>
      <c r="R10" s="92"/>
      <c r="S10" s="92"/>
      <c r="T10" s="92"/>
      <c r="U10" s="92"/>
      <c r="V10" s="92"/>
      <c r="W10" s="92">
        <v>121160</v>
      </c>
      <c r="X10" s="92">
        <v>72728</v>
      </c>
      <c r="Y10" s="92">
        <v>128858</v>
      </c>
      <c r="Z10" s="92"/>
      <c r="AA10" s="92"/>
      <c r="AB10" s="92">
        <v>181688</v>
      </c>
      <c r="AC10" s="92"/>
      <c r="AD10" s="92"/>
      <c r="AE10" s="92"/>
      <c r="AF10" s="92">
        <v>56394</v>
      </c>
      <c r="AG10" s="64">
        <f t="shared" si="0"/>
        <v>2074407.5699999998</v>
      </c>
    </row>
    <row r="11" spans="1:33" s="7" customFormat="1" x14ac:dyDescent="0.25">
      <c r="A11" s="10" t="s">
        <v>40</v>
      </c>
      <c r="B11" s="10">
        <v>527</v>
      </c>
      <c r="C11" s="10">
        <v>133970</v>
      </c>
      <c r="D11" s="10">
        <v>497654</v>
      </c>
      <c r="E11" s="10">
        <v>799040</v>
      </c>
      <c r="F11" s="10">
        <v>31266</v>
      </c>
      <c r="G11" s="10">
        <v>164738</v>
      </c>
      <c r="H11" s="10">
        <v>369191.39</v>
      </c>
      <c r="I11" s="10"/>
      <c r="J11" s="10">
        <v>30867.47</v>
      </c>
      <c r="K11" s="10">
        <v>137696</v>
      </c>
      <c r="L11" s="10">
        <v>285424</v>
      </c>
      <c r="M11" s="10">
        <v>830060</v>
      </c>
      <c r="N11" s="10">
        <v>298870</v>
      </c>
      <c r="O11" s="10"/>
      <c r="P11" s="10">
        <v>74812</v>
      </c>
      <c r="Q11" s="10">
        <v>27962.240000000002</v>
      </c>
      <c r="R11" s="10">
        <v>34234.550000000003</v>
      </c>
      <c r="S11" s="10">
        <v>12504</v>
      </c>
      <c r="T11" s="10">
        <v>799.66</v>
      </c>
      <c r="U11" s="10"/>
      <c r="V11" s="10">
        <v>12315</v>
      </c>
      <c r="W11" s="10">
        <v>199907</v>
      </c>
      <c r="X11" s="10">
        <v>99988</v>
      </c>
      <c r="Y11" s="10">
        <v>262759</v>
      </c>
      <c r="Z11" s="10">
        <v>203707</v>
      </c>
      <c r="AA11" s="10">
        <v>570826</v>
      </c>
      <c r="AB11" s="10">
        <v>234705</v>
      </c>
      <c r="AC11" s="10">
        <v>1870843</v>
      </c>
      <c r="AD11" s="10">
        <v>-237040</v>
      </c>
      <c r="AE11" s="10">
        <v>10971</v>
      </c>
      <c r="AF11" s="10">
        <v>73156</v>
      </c>
      <c r="AG11" s="63">
        <f t="shared" si="0"/>
        <v>7031753.3100000005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308</v>
      </c>
    </row>
    <row r="2" spans="1:32" x14ac:dyDescent="0.25">
      <c r="A2" s="13" t="s">
        <v>98</v>
      </c>
    </row>
    <row r="3" spans="1:32" x14ac:dyDescent="0.25">
      <c r="A3" s="1" t="s">
        <v>0</v>
      </c>
      <c r="B3" s="126" t="s">
        <v>1</v>
      </c>
      <c r="C3" s="126" t="s">
        <v>234</v>
      </c>
      <c r="D3" s="126" t="s">
        <v>2</v>
      </c>
      <c r="E3" s="126" t="s">
        <v>3</v>
      </c>
      <c r="F3" s="126" t="s">
        <v>243</v>
      </c>
      <c r="G3" s="126" t="s">
        <v>235</v>
      </c>
      <c r="H3" s="126" t="s">
        <v>246</v>
      </c>
      <c r="I3" s="126" t="s">
        <v>5</v>
      </c>
      <c r="J3" s="126" t="s">
        <v>4</v>
      </c>
      <c r="K3" s="144" t="s">
        <v>6</v>
      </c>
      <c r="L3" s="144" t="s">
        <v>7</v>
      </c>
      <c r="M3" s="144" t="s">
        <v>8</v>
      </c>
      <c r="N3" s="126" t="s">
        <v>9</v>
      </c>
      <c r="O3" s="126" t="s">
        <v>242</v>
      </c>
      <c r="P3" s="126" t="s">
        <v>10</v>
      </c>
      <c r="Q3" s="126" t="s">
        <v>11</v>
      </c>
      <c r="R3" s="126" t="s">
        <v>236</v>
      </c>
      <c r="S3" s="126" t="s">
        <v>245</v>
      </c>
      <c r="T3" s="126" t="s">
        <v>12</v>
      </c>
      <c r="U3" s="126" t="s">
        <v>237</v>
      </c>
      <c r="V3" s="126" t="s">
        <v>238</v>
      </c>
      <c r="W3" s="126" t="s">
        <v>241</v>
      </c>
      <c r="X3" s="126" t="s">
        <v>13</v>
      </c>
      <c r="Y3" s="126" t="s">
        <v>14</v>
      </c>
      <c r="Z3" s="126" t="s">
        <v>15</v>
      </c>
      <c r="AA3" s="126" t="s">
        <v>16</v>
      </c>
      <c r="AB3" s="126" t="s">
        <v>17</v>
      </c>
      <c r="AC3" s="125" t="s">
        <v>239</v>
      </c>
      <c r="AD3" s="125" t="s">
        <v>240</v>
      </c>
      <c r="AE3" s="125" t="s">
        <v>18</v>
      </c>
      <c r="AF3" s="126" t="s">
        <v>19</v>
      </c>
    </row>
    <row r="4" spans="1:32" x14ac:dyDescent="0.25">
      <c r="A4" s="92" t="s">
        <v>276</v>
      </c>
      <c r="B4" s="92"/>
      <c r="C4" s="92"/>
      <c r="D4" s="92"/>
      <c r="E4" s="92"/>
      <c r="F4" s="92"/>
      <c r="G4" s="92">
        <v>10000</v>
      </c>
      <c r="H4" s="92"/>
      <c r="I4" s="92"/>
      <c r="J4" s="92"/>
      <c r="K4" s="92"/>
      <c r="L4" s="92">
        <v>52900</v>
      </c>
      <c r="M4" s="92">
        <v>25500</v>
      </c>
      <c r="N4" s="92"/>
      <c r="O4" s="92"/>
      <c r="P4" s="92"/>
      <c r="Q4" s="92"/>
      <c r="R4" s="92">
        <v>11100</v>
      </c>
      <c r="S4" s="92">
        <v>15000</v>
      </c>
      <c r="T4" s="92">
        <v>89500</v>
      </c>
      <c r="U4" s="92"/>
      <c r="V4" s="92"/>
      <c r="W4" s="92">
        <v>23000</v>
      </c>
      <c r="X4" s="92">
        <v>12600</v>
      </c>
      <c r="Y4" s="92"/>
      <c r="Z4" s="92"/>
      <c r="AA4" s="92">
        <v>72000</v>
      </c>
      <c r="AB4" s="92">
        <v>36300</v>
      </c>
      <c r="AC4" s="92"/>
      <c r="AD4" s="92">
        <v>75000</v>
      </c>
      <c r="AE4" s="92">
        <v>90000</v>
      </c>
      <c r="AF4" s="92"/>
    </row>
    <row r="5" spans="1:32" x14ac:dyDescent="0.25">
      <c r="A5" s="92" t="s">
        <v>277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16.37+8.95</f>
        <v>25.32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32" x14ac:dyDescent="0.25">
      <c r="A6" s="92" t="s">
        <v>278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v>0.84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2" x14ac:dyDescent="0.25">
      <c r="A7" s="92" t="s">
        <v>31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32" s="7" customFormat="1" x14ac:dyDescent="0.25">
      <c r="A8" s="10" t="s">
        <v>40</v>
      </c>
      <c r="B8" s="10"/>
      <c r="C8" s="10"/>
      <c r="D8" s="10"/>
      <c r="E8" s="10"/>
      <c r="F8" s="10"/>
      <c r="G8" s="10">
        <v>10000</v>
      </c>
      <c r="H8" s="10"/>
      <c r="I8" s="10"/>
      <c r="J8" s="10"/>
      <c r="K8" s="10"/>
      <c r="L8" s="10">
        <v>52900</v>
      </c>
      <c r="M8" s="10">
        <v>25500</v>
      </c>
      <c r="N8" s="10"/>
      <c r="O8" s="10"/>
      <c r="P8" s="10"/>
      <c r="Q8" s="10">
        <v>26.16</v>
      </c>
      <c r="R8" s="10">
        <v>11100</v>
      </c>
      <c r="S8" s="10">
        <v>15000</v>
      </c>
      <c r="T8" s="10">
        <v>89500</v>
      </c>
      <c r="U8" s="10"/>
      <c r="V8" s="10"/>
      <c r="W8" s="10">
        <v>23000</v>
      </c>
      <c r="X8" s="10">
        <v>12600</v>
      </c>
      <c r="Y8" s="10"/>
      <c r="Z8" s="10"/>
      <c r="AA8" s="10">
        <v>72000</v>
      </c>
      <c r="AB8" s="10">
        <v>36300</v>
      </c>
      <c r="AC8" s="10"/>
      <c r="AD8" s="10">
        <v>75000</v>
      </c>
      <c r="AE8" s="10">
        <v>90000</v>
      </c>
      <c r="AF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NL11</vt:lpstr>
      <vt:lpstr>NL12</vt:lpstr>
      <vt:lpstr>NL13</vt:lpstr>
      <vt:lpstr>NL14</vt:lpstr>
      <vt:lpstr>NL15</vt:lpstr>
      <vt:lpstr>NL17</vt:lpstr>
      <vt:lpstr>NL18</vt:lpstr>
      <vt:lpstr>NL20</vt:lpstr>
      <vt:lpstr>NL26</vt:lpstr>
      <vt:lpstr>NL33</vt:lpstr>
      <vt:lpstr>NL36</vt:lpstr>
      <vt:lpstr>NL40</vt:lpstr>
      <vt:lpstr>NL44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2022-06-10T08:49:09Z</dcterms:modified>
</cp:coreProperties>
</file>